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13_ncr:1_{D3809AA7-CCF8-46D7-B996-70F1A24EB1B5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105" i="2" l="1"/>
  <c r="H105" i="2"/>
  <c r="G105" i="2"/>
  <c r="F105" i="2"/>
  <c r="E105" i="2"/>
  <c r="D105" i="2"/>
  <c r="I104" i="2"/>
  <c r="H104" i="2"/>
  <c r="G104" i="2"/>
  <c r="F104" i="2"/>
  <c r="E104" i="2"/>
  <c r="D104" i="2"/>
  <c r="I17" i="2" l="1"/>
  <c r="H17" i="2"/>
  <c r="G17" i="2"/>
  <c r="F17" i="2"/>
  <c r="E17" i="2"/>
  <c r="D17" i="2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G95" i="2" l="1"/>
  <c r="F95" i="2"/>
  <c r="O95" i="5"/>
  <c r="I95" i="2" s="1"/>
  <c r="M95" i="5"/>
  <c r="H95" i="2" s="1"/>
  <c r="K95" i="5"/>
  <c r="I95" i="5"/>
  <c r="G95" i="5"/>
  <c r="E95" i="2" s="1"/>
  <c r="E95" i="5"/>
  <c r="D95" i="2" s="1"/>
  <c r="O83" i="5" l="1"/>
  <c r="I83" i="2" s="1"/>
  <c r="M83" i="5"/>
  <c r="H83" i="2" s="1"/>
  <c r="K83" i="5"/>
  <c r="G83" i="2" s="1"/>
  <c r="I83" i="5"/>
  <c r="F83" i="2" s="1"/>
  <c r="G83" i="5"/>
  <c r="E83" i="2" s="1"/>
  <c r="E83" i="5"/>
  <c r="D83" i="2" s="1"/>
  <c r="O45" i="5" l="1"/>
  <c r="O44" i="5"/>
  <c r="I44" i="2" s="1"/>
  <c r="O42" i="5"/>
  <c r="O40" i="5"/>
  <c r="O38" i="5"/>
  <c r="M45" i="5"/>
  <c r="H45" i="2" s="1"/>
  <c r="M44" i="5"/>
  <c r="H44" i="2" s="1"/>
  <c r="M42" i="5"/>
  <c r="M40" i="5"/>
  <c r="H40" i="2" s="1"/>
  <c r="M38" i="5"/>
  <c r="H38" i="2" s="1"/>
  <c r="K45" i="5"/>
  <c r="G45" i="2" s="1"/>
  <c r="K44" i="5"/>
  <c r="G44" i="2" s="1"/>
  <c r="K42" i="5"/>
  <c r="K40" i="5"/>
  <c r="G40" i="2" s="1"/>
  <c r="K38" i="5"/>
  <c r="G38" i="2" s="1"/>
  <c r="I45" i="5"/>
  <c r="F45" i="2" s="1"/>
  <c r="I44" i="5"/>
  <c r="I42" i="5"/>
  <c r="I40" i="5"/>
  <c r="F40" i="2" s="1"/>
  <c r="I38" i="5"/>
  <c r="F38" i="2" s="1"/>
  <c r="G45" i="5"/>
  <c r="G44" i="5"/>
  <c r="G42" i="5"/>
  <c r="G40" i="5"/>
  <c r="E40" i="2" s="1"/>
  <c r="G38" i="5"/>
  <c r="E38" i="2" s="1"/>
  <c r="E45" i="5"/>
  <c r="D45" i="2" s="1"/>
  <c r="E44" i="5"/>
  <c r="D44" i="2" s="1"/>
  <c r="E42" i="5"/>
  <c r="E40" i="5"/>
  <c r="E38" i="5"/>
  <c r="D38" i="2" s="1"/>
  <c r="I45" i="2"/>
  <c r="I40" i="2"/>
  <c r="I38" i="2"/>
  <c r="F44" i="2"/>
  <c r="E45" i="2"/>
  <c r="E44" i="2"/>
  <c r="D40" i="2"/>
  <c r="I64" i="2" l="1"/>
  <c r="H64" i="2"/>
  <c r="G64" i="2"/>
  <c r="F64" i="2"/>
  <c r="E64" i="2"/>
  <c r="D64" i="2"/>
  <c r="D100" i="2" l="1"/>
  <c r="G100" i="2" l="1"/>
  <c r="F100" i="2"/>
  <c r="E100" i="2" l="1"/>
  <c r="H100" i="2" l="1"/>
  <c r="I100" i="2" l="1"/>
  <c r="I63" i="2" l="1"/>
  <c r="H63" i="2"/>
  <c r="G63" i="2"/>
  <c r="F63" i="2"/>
  <c r="E63" i="2"/>
  <c r="D63" i="2"/>
  <c r="I101" i="2" l="1"/>
  <c r="H101" i="2"/>
  <c r="G101" i="2"/>
  <c r="F101" i="2"/>
  <c r="E101" i="2"/>
  <c r="D101" i="2"/>
  <c r="O96" i="5"/>
  <c r="I96" i="2" s="1"/>
  <c r="M96" i="5"/>
  <c r="H96" i="2" s="1"/>
  <c r="K96" i="5"/>
  <c r="G96" i="2" s="1"/>
  <c r="I96" i="5"/>
  <c r="F96" i="2" s="1"/>
  <c r="G96" i="5"/>
  <c r="E96" i="2" s="1"/>
  <c r="E96" i="5"/>
  <c r="D96" i="2" s="1"/>
  <c r="I80" i="2" l="1"/>
  <c r="H80" i="2" l="1"/>
  <c r="G80" i="2" l="1"/>
  <c r="F80" i="2" l="1"/>
  <c r="E80" i="2" l="1"/>
  <c r="D80" i="2" l="1"/>
  <c r="I99" i="2" l="1"/>
  <c r="I98" i="2"/>
  <c r="I94" i="2"/>
  <c r="I93" i="2"/>
  <c r="I92" i="2"/>
  <c r="I91" i="2"/>
  <c r="I90" i="2"/>
  <c r="I89" i="2"/>
  <c r="I88" i="2"/>
  <c r="I87" i="2"/>
  <c r="I86" i="2"/>
  <c r="I85" i="2"/>
  <c r="I84" i="2"/>
  <c r="I82" i="2"/>
  <c r="I81" i="2"/>
  <c r="I79" i="2"/>
  <c r="I78" i="2"/>
  <c r="I66" i="2"/>
  <c r="I65" i="2"/>
  <c r="I62" i="2"/>
  <c r="I61" i="2"/>
  <c r="I59" i="2"/>
  <c r="I56" i="2"/>
  <c r="I55" i="2"/>
  <c r="I54" i="2"/>
  <c r="I53" i="2"/>
  <c r="I51" i="2"/>
  <c r="I46" i="2"/>
  <c r="I43" i="2"/>
  <c r="I41" i="2"/>
  <c r="I39" i="2"/>
  <c r="I37" i="2"/>
  <c r="I36" i="2"/>
  <c r="I27" i="2"/>
  <c r="I26" i="2"/>
  <c r="I24" i="2"/>
  <c r="I16" i="2"/>
  <c r="I14" i="2"/>
  <c r="I13" i="2"/>
  <c r="O10" i="5"/>
  <c r="I10" i="2" s="1"/>
  <c r="I9" i="2" l="1"/>
  <c r="I11" i="2"/>
  <c r="I12" i="2"/>
  <c r="H99" i="2"/>
  <c r="H98" i="2"/>
  <c r="H94" i="2"/>
  <c r="H93" i="2"/>
  <c r="H92" i="2"/>
  <c r="H91" i="2"/>
  <c r="H90" i="2"/>
  <c r="H89" i="2"/>
  <c r="H88" i="2"/>
  <c r="H87" i="2"/>
  <c r="H86" i="2"/>
  <c r="H85" i="2"/>
  <c r="H84" i="2"/>
  <c r="H82" i="2"/>
  <c r="H81" i="2"/>
  <c r="H79" i="2"/>
  <c r="H78" i="2"/>
  <c r="H66" i="2"/>
  <c r="H65" i="2"/>
  <c r="H62" i="2"/>
  <c r="H61" i="2"/>
  <c r="H59" i="2"/>
  <c r="H56" i="2"/>
  <c r="H55" i="2"/>
  <c r="H54" i="2"/>
  <c r="H53" i="2"/>
  <c r="H51" i="2"/>
  <c r="H46" i="2"/>
  <c r="H43" i="2"/>
  <c r="H41" i="2"/>
  <c r="H39" i="2"/>
  <c r="H37" i="2"/>
  <c r="H36" i="2"/>
  <c r="H27" i="2"/>
  <c r="H26" i="2"/>
  <c r="H24" i="2"/>
  <c r="H16" i="2"/>
  <c r="H42" i="2"/>
  <c r="O75" i="5"/>
  <c r="I75" i="2" s="1"/>
  <c r="O74" i="5"/>
  <c r="I74" i="2" s="1"/>
  <c r="O73" i="5"/>
  <c r="I73" i="2" s="1"/>
  <c r="O72" i="5"/>
  <c r="I72" i="2" s="1"/>
  <c r="O71" i="5"/>
  <c r="I71" i="2" s="1"/>
  <c r="O70" i="5"/>
  <c r="I70" i="2" s="1"/>
  <c r="O60" i="5"/>
  <c r="I60" i="2" s="1"/>
  <c r="O58" i="5"/>
  <c r="I58" i="2" s="1"/>
  <c r="O57" i="5"/>
  <c r="I57" i="2" s="1"/>
  <c r="O52" i="5"/>
  <c r="I52" i="2" s="1"/>
  <c r="O50" i="5"/>
  <c r="I50" i="2" s="1"/>
  <c r="O49" i="5"/>
  <c r="I49" i="2" s="1"/>
  <c r="O48" i="5"/>
  <c r="I48" i="2" s="1"/>
  <c r="O47" i="5"/>
  <c r="I47" i="2" s="1"/>
  <c r="I42" i="2"/>
  <c r="O35" i="5"/>
  <c r="I35" i="2" s="1"/>
  <c r="O34" i="5"/>
  <c r="I34" i="2" s="1"/>
  <c r="O33" i="5"/>
  <c r="I33" i="2" s="1"/>
  <c r="O32" i="5"/>
  <c r="I32" i="2" s="1"/>
  <c r="O31" i="5"/>
  <c r="I31" i="2" s="1"/>
  <c r="O30" i="5"/>
  <c r="I30" i="2" s="1"/>
  <c r="O29" i="5"/>
  <c r="I29" i="2" s="1"/>
  <c r="O28" i="5"/>
  <c r="I28" i="2" s="1"/>
  <c r="O25" i="5"/>
  <c r="I25" i="2" s="1"/>
  <c r="O23" i="5"/>
  <c r="I23" i="2" s="1"/>
  <c r="O22" i="5"/>
  <c r="I22" i="2" s="1"/>
  <c r="O21" i="5"/>
  <c r="I21" i="2" s="1"/>
  <c r="O20" i="5"/>
  <c r="I20" i="2" s="1"/>
  <c r="O19" i="5"/>
  <c r="I19" i="2" s="1"/>
  <c r="O18" i="5"/>
  <c r="I18" i="2" s="1"/>
  <c r="M10" i="5"/>
  <c r="H10" i="2" s="1"/>
  <c r="H14" i="2"/>
  <c r="H13" i="2"/>
  <c r="M75" i="5"/>
  <c r="H75" i="2" s="1"/>
  <c r="M74" i="5"/>
  <c r="H74" i="2" s="1"/>
  <c r="M73" i="5"/>
  <c r="H73" i="2" s="1"/>
  <c r="M72" i="5"/>
  <c r="H72" i="2" s="1"/>
  <c r="M71" i="5"/>
  <c r="H71" i="2" s="1"/>
  <c r="M70" i="5"/>
  <c r="H70" i="2" s="1"/>
  <c r="M60" i="5"/>
  <c r="H60" i="2" s="1"/>
  <c r="M58" i="5"/>
  <c r="H58" i="2" s="1"/>
  <c r="M57" i="5"/>
  <c r="H57" i="2" s="1"/>
  <c r="M52" i="5"/>
  <c r="H52" i="2" s="1"/>
  <c r="M50" i="5"/>
  <c r="H50" i="2" s="1"/>
  <c r="M49" i="5"/>
  <c r="H49" i="2" s="1"/>
  <c r="M48" i="5"/>
  <c r="H48" i="2" s="1"/>
  <c r="M47" i="5"/>
  <c r="H47" i="2" s="1"/>
  <c r="M35" i="5"/>
  <c r="H35" i="2" s="1"/>
  <c r="M34" i="5"/>
  <c r="H34" i="2" s="1"/>
  <c r="M33" i="5"/>
  <c r="H33" i="2" s="1"/>
  <c r="M32" i="5"/>
  <c r="H32" i="2" s="1"/>
  <c r="M31" i="5"/>
  <c r="H31" i="2" s="1"/>
  <c r="M30" i="5"/>
  <c r="H30" i="2" s="1"/>
  <c r="M29" i="5"/>
  <c r="H29" i="2" s="1"/>
  <c r="M28" i="5"/>
  <c r="H28" i="2" s="1"/>
  <c r="M25" i="5"/>
  <c r="H25" i="2" s="1"/>
  <c r="M23" i="5"/>
  <c r="H23" i="2" s="1"/>
  <c r="M22" i="5"/>
  <c r="H22" i="2" s="1"/>
  <c r="M21" i="5"/>
  <c r="H21" i="2" s="1"/>
  <c r="M20" i="5"/>
  <c r="H20" i="2" s="1"/>
  <c r="M19" i="5"/>
  <c r="H19" i="2" s="1"/>
  <c r="M18" i="5"/>
  <c r="H18" i="2" s="1"/>
  <c r="H11" i="2" l="1"/>
  <c r="H12" i="2"/>
  <c r="H9" i="2"/>
  <c r="G92" i="2"/>
  <c r="F92" i="2"/>
  <c r="E92" i="2"/>
  <c r="D92" i="2"/>
  <c r="G82" i="2"/>
  <c r="F82" i="2"/>
  <c r="E82" i="2"/>
  <c r="D82" i="2"/>
  <c r="G54" i="2"/>
  <c r="F54" i="2"/>
  <c r="E54" i="2"/>
  <c r="D54" i="2"/>
  <c r="G70" i="5" l="1"/>
  <c r="E70" i="2" s="1"/>
  <c r="K75" i="5"/>
  <c r="G75" i="2" s="1"/>
  <c r="K74" i="5"/>
  <c r="G74" i="2" s="1"/>
  <c r="K73" i="5"/>
  <c r="G73" i="2" s="1"/>
  <c r="K72" i="5"/>
  <c r="G72" i="2" s="1"/>
  <c r="K71" i="5"/>
  <c r="G71" i="2" s="1"/>
  <c r="K70" i="5"/>
  <c r="I75" i="5"/>
  <c r="F75" i="2" s="1"/>
  <c r="I74" i="5"/>
  <c r="F74" i="2" s="1"/>
  <c r="I73" i="5"/>
  <c r="F73" i="2" s="1"/>
  <c r="I72" i="5"/>
  <c r="F72" i="2" s="1"/>
  <c r="I71" i="5"/>
  <c r="F71" i="2" s="1"/>
  <c r="I70" i="5"/>
  <c r="G75" i="5"/>
  <c r="E75" i="2" s="1"/>
  <c r="G74" i="5"/>
  <c r="G73" i="5"/>
  <c r="G72" i="5"/>
  <c r="E72" i="2" s="1"/>
  <c r="G71" i="5"/>
  <c r="E71" i="2" s="1"/>
  <c r="E75" i="5"/>
  <c r="D75" i="2" s="1"/>
  <c r="E74" i="5"/>
  <c r="D74" i="2" s="1"/>
  <c r="E73" i="5"/>
  <c r="D73" i="2" s="1"/>
  <c r="E72" i="5"/>
  <c r="D72" i="2" s="1"/>
  <c r="E71" i="5"/>
  <c r="E70" i="5"/>
  <c r="G99" i="2"/>
  <c r="F99" i="2"/>
  <c r="E99" i="2"/>
  <c r="D99" i="2"/>
  <c r="G98" i="2"/>
  <c r="F98" i="2"/>
  <c r="E98" i="2"/>
  <c r="D98" i="2"/>
  <c r="G94" i="2"/>
  <c r="F94" i="2"/>
  <c r="E94" i="2"/>
  <c r="D94" i="2"/>
  <c r="G93" i="2"/>
  <c r="F93" i="2"/>
  <c r="E93" i="2"/>
  <c r="D93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1" i="2"/>
  <c r="F81" i="2"/>
  <c r="E81" i="2"/>
  <c r="D81" i="2"/>
  <c r="G79" i="2"/>
  <c r="F79" i="2"/>
  <c r="E79" i="2"/>
  <c r="D79" i="2"/>
  <c r="G78" i="2"/>
  <c r="F78" i="2"/>
  <c r="E78" i="2"/>
  <c r="D78" i="2"/>
  <c r="E74" i="2"/>
  <c r="E73" i="2"/>
  <c r="D71" i="2"/>
  <c r="G70" i="2"/>
  <c r="F70" i="2"/>
  <c r="D70" i="2"/>
  <c r="G66" i="2"/>
  <c r="F66" i="2"/>
  <c r="E66" i="2"/>
  <c r="D66" i="2"/>
  <c r="G65" i="2"/>
  <c r="F65" i="2"/>
  <c r="E65" i="2"/>
  <c r="D65" i="2"/>
  <c r="G62" i="2"/>
  <c r="F62" i="2"/>
  <c r="E62" i="2"/>
  <c r="D62" i="2"/>
  <c r="G61" i="2"/>
  <c r="F61" i="2"/>
  <c r="E61" i="2"/>
  <c r="D61" i="2"/>
  <c r="G59" i="2"/>
  <c r="F59" i="2"/>
  <c r="E59" i="2"/>
  <c r="D59" i="2"/>
  <c r="G56" i="2"/>
  <c r="F56" i="2"/>
  <c r="E56" i="2"/>
  <c r="D56" i="2"/>
  <c r="G55" i="2"/>
  <c r="F55" i="2"/>
  <c r="E55" i="2"/>
  <c r="D55" i="2"/>
  <c r="G53" i="2"/>
  <c r="F53" i="2"/>
  <c r="E53" i="2"/>
  <c r="D53" i="2"/>
  <c r="G51" i="2"/>
  <c r="F51" i="2"/>
  <c r="E51" i="2"/>
  <c r="D51" i="2"/>
  <c r="G46" i="2"/>
  <c r="F46" i="2"/>
  <c r="E46" i="2"/>
  <c r="D46" i="2"/>
  <c r="G43" i="2"/>
  <c r="F43" i="2"/>
  <c r="E43" i="2"/>
  <c r="D43" i="2"/>
  <c r="G41" i="2"/>
  <c r="F41" i="2"/>
  <c r="E41" i="2"/>
  <c r="D41" i="2"/>
  <c r="G39" i="2"/>
  <c r="F39" i="2"/>
  <c r="E39" i="2"/>
  <c r="D39" i="2"/>
  <c r="G37" i="2"/>
  <c r="F37" i="2"/>
  <c r="E37" i="2"/>
  <c r="D37" i="2"/>
  <c r="G36" i="2"/>
  <c r="F36" i="2"/>
  <c r="E36" i="2"/>
  <c r="D36" i="2"/>
  <c r="G27" i="2"/>
  <c r="F27" i="2"/>
  <c r="E27" i="2"/>
  <c r="D27" i="2"/>
  <c r="G26" i="2"/>
  <c r="F26" i="2"/>
  <c r="E26" i="2"/>
  <c r="D26" i="2"/>
  <c r="G24" i="2"/>
  <c r="F24" i="2"/>
  <c r="E24" i="2"/>
  <c r="D24" i="2"/>
  <c r="G16" i="2"/>
  <c r="F16" i="2"/>
  <c r="E16" i="2"/>
  <c r="D16" i="2"/>
  <c r="G14" i="2"/>
  <c r="G13" i="2"/>
  <c r="F13" i="2"/>
  <c r="F14" i="2"/>
  <c r="E14" i="2"/>
  <c r="E13" i="2"/>
  <c r="D14" i="2"/>
  <c r="D13" i="2"/>
  <c r="G10" i="5"/>
  <c r="E10" i="2" s="1"/>
  <c r="K10" i="5"/>
  <c r="G10" i="2" s="1"/>
  <c r="I10" i="5"/>
  <c r="F10" i="2" s="1"/>
  <c r="E10" i="5"/>
  <c r="D10" i="2" s="1"/>
  <c r="G12" i="2" l="1"/>
  <c r="G9" i="2"/>
  <c r="G11" i="2"/>
  <c r="D9" i="2"/>
  <c r="D11" i="2"/>
  <c r="D12" i="2"/>
  <c r="F11" i="2"/>
  <c r="F12" i="2"/>
  <c r="F9" i="2"/>
  <c r="E9" i="2"/>
  <c r="E12" i="2"/>
  <c r="E11" i="2"/>
  <c r="K60" i="5"/>
  <c r="G60" i="2" s="1"/>
  <c r="K58" i="5"/>
  <c r="G58" i="2" s="1"/>
  <c r="K57" i="5"/>
  <c r="G57" i="2" s="1"/>
  <c r="K52" i="5"/>
  <c r="G52" i="2" s="1"/>
  <c r="K50" i="5"/>
  <c r="G50" i="2" s="1"/>
  <c r="K49" i="5"/>
  <c r="G49" i="2" s="1"/>
  <c r="K48" i="5"/>
  <c r="G48" i="2" s="1"/>
  <c r="K47" i="5"/>
  <c r="G47" i="2" s="1"/>
  <c r="G42" i="2"/>
  <c r="K35" i="5"/>
  <c r="G35" i="2" s="1"/>
  <c r="K34" i="5"/>
  <c r="G34" i="2" s="1"/>
  <c r="K33" i="5"/>
  <c r="G33" i="2" s="1"/>
  <c r="K32" i="5"/>
  <c r="G32" i="2" s="1"/>
  <c r="K31" i="5"/>
  <c r="G31" i="2" s="1"/>
  <c r="K30" i="5"/>
  <c r="G30" i="2" s="1"/>
  <c r="K29" i="5"/>
  <c r="G29" i="2" s="1"/>
  <c r="K28" i="5"/>
  <c r="G28" i="2" s="1"/>
  <c r="K25" i="5"/>
  <c r="G25" i="2" s="1"/>
  <c r="K23" i="5"/>
  <c r="G23" i="2" s="1"/>
  <c r="K22" i="5"/>
  <c r="G22" i="2" s="1"/>
  <c r="K21" i="5"/>
  <c r="G21" i="2" s="1"/>
  <c r="K20" i="5"/>
  <c r="G20" i="2" s="1"/>
  <c r="K19" i="5"/>
  <c r="G19" i="2" s="1"/>
  <c r="K18" i="5"/>
  <c r="G18" i="2" s="1"/>
  <c r="I60" i="5"/>
  <c r="F60" i="2" s="1"/>
  <c r="I58" i="5"/>
  <c r="F58" i="2" s="1"/>
  <c r="I57" i="5"/>
  <c r="F57" i="2" s="1"/>
  <c r="I52" i="5"/>
  <c r="F52" i="2" s="1"/>
  <c r="I50" i="5"/>
  <c r="F50" i="2" s="1"/>
  <c r="I49" i="5"/>
  <c r="F49" i="2" s="1"/>
  <c r="I48" i="5"/>
  <c r="F48" i="2" s="1"/>
  <c r="I47" i="5"/>
  <c r="F47" i="2" s="1"/>
  <c r="F42" i="2"/>
  <c r="I35" i="5"/>
  <c r="F35" i="2" s="1"/>
  <c r="I34" i="5"/>
  <c r="F34" i="2" s="1"/>
  <c r="I33" i="5"/>
  <c r="F33" i="2" s="1"/>
  <c r="I32" i="5"/>
  <c r="F32" i="2" s="1"/>
  <c r="I31" i="5"/>
  <c r="F31" i="2" s="1"/>
  <c r="I30" i="5"/>
  <c r="F30" i="2" s="1"/>
  <c r="I29" i="5"/>
  <c r="F29" i="2" s="1"/>
  <c r="I28" i="5"/>
  <c r="F28" i="2" s="1"/>
  <c r="I25" i="5"/>
  <c r="F25" i="2" s="1"/>
  <c r="I23" i="5"/>
  <c r="F23" i="2" s="1"/>
  <c r="I22" i="5"/>
  <c r="F22" i="2" s="1"/>
  <c r="I21" i="5"/>
  <c r="F21" i="2" s="1"/>
  <c r="I20" i="5"/>
  <c r="F20" i="2" s="1"/>
  <c r="I19" i="5"/>
  <c r="F19" i="2" s="1"/>
  <c r="I18" i="5"/>
  <c r="F18" i="2" s="1"/>
  <c r="G60" i="5"/>
  <c r="E60" i="2" s="1"/>
  <c r="G58" i="5"/>
  <c r="E58" i="2" s="1"/>
  <c r="G57" i="5"/>
  <c r="E57" i="2" s="1"/>
  <c r="G52" i="5"/>
  <c r="E52" i="2" s="1"/>
  <c r="G50" i="5"/>
  <c r="E50" i="2" s="1"/>
  <c r="G49" i="5"/>
  <c r="E49" i="2" s="1"/>
  <c r="G48" i="5"/>
  <c r="E48" i="2" s="1"/>
  <c r="G47" i="5"/>
  <c r="E47" i="2" s="1"/>
  <c r="E42" i="2"/>
  <c r="G35" i="5"/>
  <c r="E35" i="2" s="1"/>
  <c r="G34" i="5"/>
  <c r="E34" i="2" s="1"/>
  <c r="G33" i="5"/>
  <c r="E33" i="2" s="1"/>
  <c r="G32" i="5"/>
  <c r="E32" i="2" s="1"/>
  <c r="G31" i="5"/>
  <c r="E31" i="2" s="1"/>
  <c r="G30" i="5"/>
  <c r="E30" i="2" s="1"/>
  <c r="G29" i="5"/>
  <c r="E29" i="2" s="1"/>
  <c r="G28" i="5"/>
  <c r="E28" i="2" s="1"/>
  <c r="G25" i="5"/>
  <c r="E25" i="2" s="1"/>
  <c r="G23" i="5"/>
  <c r="E23" i="2" s="1"/>
  <c r="G22" i="5"/>
  <c r="E22" i="2" s="1"/>
  <c r="G21" i="5"/>
  <c r="E21" i="2" s="1"/>
  <c r="G20" i="5"/>
  <c r="E20" i="2" s="1"/>
  <c r="G19" i="5"/>
  <c r="E19" i="2" s="1"/>
  <c r="G18" i="5"/>
  <c r="E18" i="2" s="1"/>
  <c r="E60" i="5"/>
  <c r="D60" i="2" s="1"/>
  <c r="E58" i="5"/>
  <c r="D58" i="2" s="1"/>
  <c r="E57" i="5"/>
  <c r="D57" i="2" s="1"/>
  <c r="E52" i="5"/>
  <c r="D52" i="2" s="1"/>
  <c r="E50" i="5"/>
  <c r="D50" i="2" s="1"/>
  <c r="E49" i="5"/>
  <c r="D49" i="2" s="1"/>
  <c r="E48" i="5"/>
  <c r="D48" i="2" s="1"/>
  <c r="E47" i="5"/>
  <c r="D47" i="2" s="1"/>
  <c r="D42" i="2"/>
  <c r="E35" i="5"/>
  <c r="D35" i="2" s="1"/>
  <c r="E34" i="5"/>
  <c r="D34" i="2" s="1"/>
  <c r="E33" i="5"/>
  <c r="D33" i="2" s="1"/>
  <c r="E32" i="5"/>
  <c r="D32" i="2" s="1"/>
  <c r="E31" i="5"/>
  <c r="D31" i="2" s="1"/>
  <c r="E30" i="5"/>
  <c r="D30" i="2" s="1"/>
  <c r="E29" i="5"/>
  <c r="D29" i="2" s="1"/>
  <c r="E28" i="5"/>
  <c r="D28" i="2" s="1"/>
  <c r="E25" i="5"/>
  <c r="D25" i="2" s="1"/>
  <c r="E23" i="5"/>
  <c r="D23" i="2" s="1"/>
  <c r="E22" i="5"/>
  <c r="D22" i="2" s="1"/>
  <c r="E21" i="5"/>
  <c r="D21" i="2" s="1"/>
  <c r="E20" i="5"/>
  <c r="D20" i="2" s="1"/>
  <c r="E19" i="5"/>
  <c r="D19" i="2" s="1"/>
  <c r="E18" i="5"/>
  <c r="D18" i="2" s="1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  <c r="R9" i="2" l="1"/>
  <c r="R19" i="2" s="1"/>
  <c r="S9" i="2"/>
  <c r="S29" i="2" s="1"/>
  <c r="T9" i="2"/>
  <c r="T14" i="2" s="1"/>
  <c r="U9" i="2"/>
  <c r="U42" i="2" s="1"/>
  <c r="V9" i="2"/>
  <c r="V16" i="2" s="1"/>
  <c r="W9" i="2"/>
  <c r="W63" i="2" s="1"/>
  <c r="X9" i="2"/>
  <c r="X37" i="2" s="1"/>
  <c r="Y9" i="2"/>
  <c r="Y38" i="2" s="1"/>
  <c r="Z9" i="2"/>
  <c r="Z40" i="2" s="1"/>
  <c r="AA9" i="2"/>
  <c r="AA32" i="2" s="1"/>
  <c r="AB9" i="2"/>
  <c r="AB46" i="2" s="1"/>
  <c r="AC9" i="2"/>
  <c r="AD9" i="2"/>
  <c r="AD49" i="2" s="1"/>
  <c r="AE9" i="2"/>
  <c r="AE51" i="2" s="1"/>
  <c r="AF9" i="2"/>
  <c r="AF23" i="2" s="1"/>
  <c r="AG9" i="2"/>
  <c r="AG40" i="2" s="1"/>
  <c r="AH9" i="2"/>
  <c r="AH22" i="2" s="1"/>
  <c r="AC13" i="2"/>
  <c r="AC14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R49" i="2"/>
  <c r="AC49" i="2"/>
  <c r="S50" i="2"/>
  <c r="AC50" i="2"/>
  <c r="AC51" i="2"/>
  <c r="AC52" i="2"/>
  <c r="AE52" i="2"/>
  <c r="AC53" i="2"/>
  <c r="AC54" i="2"/>
  <c r="AC55" i="2"/>
  <c r="V56" i="2"/>
  <c r="AC56" i="2"/>
  <c r="AC57" i="2"/>
  <c r="AC58" i="2"/>
  <c r="AC59" i="2"/>
  <c r="AC60" i="2"/>
  <c r="AB61" i="2"/>
  <c r="AC61" i="2"/>
  <c r="AC62" i="2"/>
  <c r="AC63" i="2"/>
  <c r="V64" i="2"/>
  <c r="AC64" i="2"/>
  <c r="AH64" i="2"/>
  <c r="AC65" i="2"/>
  <c r="X66" i="2"/>
  <c r="AC66" i="2"/>
  <c r="AE43" i="2" l="1"/>
  <c r="X25" i="2"/>
  <c r="Y65" i="2"/>
  <c r="Y48" i="2"/>
  <c r="T64" i="2"/>
  <c r="U37" i="2"/>
  <c r="AF52" i="2"/>
  <c r="T41" i="2"/>
  <c r="Z65" i="2"/>
  <c r="AF58" i="2"/>
  <c r="AD55" i="2"/>
  <c r="AD66" i="2"/>
  <c r="X65" i="2"/>
  <c r="V55" i="2"/>
  <c r="AB16" i="2"/>
  <c r="AH66" i="2"/>
  <c r="AH56" i="2"/>
  <c r="AH48" i="2"/>
  <c r="V41" i="2"/>
  <c r="AH24" i="2"/>
  <c r="AB20" i="2"/>
  <c r="AE66" i="2"/>
  <c r="R66" i="2"/>
  <c r="R65" i="2"/>
  <c r="S64" i="2"/>
  <c r="AB59" i="2"/>
  <c r="V32" i="2"/>
  <c r="AB65" i="2"/>
  <c r="AH62" i="2"/>
  <c r="V61" i="2"/>
  <c r="AH52" i="2"/>
  <c r="AH47" i="2"/>
  <c r="V35" i="2"/>
  <c r="AB66" i="2"/>
  <c r="AB64" i="2"/>
  <c r="AE62" i="2"/>
  <c r="AH60" i="2"/>
  <c r="AB58" i="2"/>
  <c r="AB30" i="2"/>
  <c r="V30" i="2"/>
  <c r="V66" i="2"/>
  <c r="V62" i="2"/>
  <c r="AE54" i="2"/>
  <c r="S65" i="2"/>
  <c r="U63" i="2"/>
  <c r="AE61" i="2"/>
  <c r="Z60" i="2"/>
  <c r="AE55" i="2"/>
  <c r="Y54" i="2"/>
  <c r="S13" i="2"/>
  <c r="U66" i="2"/>
  <c r="Y66" i="2"/>
  <c r="U64" i="2"/>
  <c r="T57" i="2"/>
  <c r="T51" i="2"/>
  <c r="AF45" i="2"/>
  <c r="S34" i="2"/>
  <c r="AG64" i="2"/>
  <c r="T66" i="2"/>
  <c r="Y63" i="2"/>
  <c r="U62" i="2"/>
  <c r="T56" i="2"/>
  <c r="Z49" i="2"/>
  <c r="T32" i="2"/>
  <c r="Z64" i="2"/>
  <c r="AF60" i="2"/>
  <c r="AF57" i="2"/>
  <c r="Z53" i="2"/>
  <c r="Z52" i="2"/>
  <c r="AF38" i="2"/>
  <c r="AF35" i="2"/>
  <c r="T33" i="2"/>
  <c r="Z63" i="2"/>
  <c r="AE60" i="2"/>
  <c r="T59" i="2"/>
  <c r="AE57" i="2"/>
  <c r="AF54" i="2"/>
  <c r="Y53" i="2"/>
  <c r="T52" i="2"/>
  <c r="T48" i="2"/>
  <c r="Z46" i="2"/>
  <c r="AA44" i="2"/>
  <c r="AG66" i="2"/>
  <c r="AA66" i="2"/>
  <c r="T62" i="2"/>
  <c r="T61" i="2"/>
  <c r="AF59" i="2"/>
  <c r="Z47" i="2"/>
  <c r="Z45" i="2"/>
  <c r="Z43" i="2"/>
  <c r="AF39" i="2"/>
  <c r="AF36" i="2"/>
  <c r="Z24" i="2"/>
  <c r="AF13" i="2"/>
  <c r="AF66" i="2"/>
  <c r="Z66" i="2"/>
  <c r="S66" i="2"/>
  <c r="AF63" i="2"/>
  <c r="AF62" i="2"/>
  <c r="AF61" i="2"/>
  <c r="Z58" i="2"/>
  <c r="AF56" i="2"/>
  <c r="T50" i="2"/>
  <c r="T47" i="2"/>
  <c r="AF44" i="2"/>
  <c r="U27" i="2"/>
  <c r="AA64" i="2"/>
  <c r="AG63" i="2"/>
  <c r="AH57" i="2"/>
  <c r="U54" i="2"/>
  <c r="AG52" i="2"/>
  <c r="AH49" i="2"/>
  <c r="AG37" i="2"/>
  <c r="AB36" i="2"/>
  <c r="AG25" i="2"/>
  <c r="AG61" i="2"/>
  <c r="U61" i="2"/>
  <c r="AH58" i="2"/>
  <c r="AH53" i="2"/>
  <c r="AH46" i="2"/>
  <c r="AH39" i="2"/>
  <c r="AB33" i="2"/>
  <c r="AB28" i="2"/>
  <c r="V23" i="2"/>
  <c r="AH59" i="2"/>
  <c r="AH50" i="2"/>
  <c r="AA49" i="2"/>
  <c r="AB42" i="2"/>
  <c r="AB37" i="2"/>
  <c r="V33" i="2"/>
  <c r="V28" i="2"/>
  <c r="AB18" i="2"/>
  <c r="AB63" i="2"/>
  <c r="W61" i="2"/>
  <c r="AB55" i="2"/>
  <c r="AB54" i="2"/>
  <c r="AB53" i="2"/>
  <c r="AH51" i="2"/>
  <c r="AB49" i="2"/>
  <c r="AB45" i="2"/>
  <c r="AB44" i="2"/>
  <c r="AB43" i="2"/>
  <c r="V42" i="2"/>
  <c r="AH40" i="2"/>
  <c r="AB38" i="2"/>
  <c r="V37" i="2"/>
  <c r="V36" i="2"/>
  <c r="AB34" i="2"/>
  <c r="AH31" i="2"/>
  <c r="S28" i="2"/>
  <c r="Y26" i="2"/>
  <c r="AB22" i="2"/>
  <c r="AH19" i="2"/>
  <c r="AH17" i="2"/>
  <c r="AB14" i="2"/>
  <c r="V50" i="2"/>
  <c r="AB48" i="2"/>
  <c r="AB47" i="2"/>
  <c r="AH41" i="2"/>
  <c r="AB39" i="2"/>
  <c r="V38" i="2"/>
  <c r="V34" i="2"/>
  <c r="AH32" i="2"/>
  <c r="AB29" i="2"/>
  <c r="AH23" i="2"/>
  <c r="V22" i="2"/>
  <c r="AB57" i="2"/>
  <c r="V46" i="2"/>
  <c r="V45" i="2"/>
  <c r="V44" i="2"/>
  <c r="V43" i="2"/>
  <c r="AB40" i="2"/>
  <c r="V39" i="2"/>
  <c r="AH37" i="2"/>
  <c r="AH36" i="2"/>
  <c r="AB31" i="2"/>
  <c r="V29" i="2"/>
  <c r="AB27" i="2"/>
  <c r="AB19" i="2"/>
  <c r="AH16" i="2"/>
  <c r="V59" i="2"/>
  <c r="AH54" i="2"/>
  <c r="V54" i="2"/>
  <c r="AB51" i="2"/>
  <c r="W66" i="2"/>
  <c r="AH65" i="2"/>
  <c r="V63" i="2"/>
  <c r="AB62" i="2"/>
  <c r="V60" i="2"/>
  <c r="V58" i="2"/>
  <c r="V53" i="2"/>
  <c r="AB52" i="2"/>
  <c r="V51" i="2"/>
  <c r="V49" i="2"/>
  <c r="V48" i="2"/>
  <c r="V47" i="2"/>
  <c r="AH45" i="2"/>
  <c r="AH44" i="2"/>
  <c r="AH43" i="2"/>
  <c r="AH42" i="2"/>
  <c r="AB41" i="2"/>
  <c r="V40" i="2"/>
  <c r="AH38" i="2"/>
  <c r="AB35" i="2"/>
  <c r="AB32" i="2"/>
  <c r="V27" i="2"/>
  <c r="AB23" i="2"/>
  <c r="AB21" i="2"/>
  <c r="S19" i="2"/>
  <c r="AB13" i="2"/>
  <c r="W62" i="2"/>
  <c r="Y58" i="2"/>
  <c r="Y56" i="2"/>
  <c r="Y52" i="2"/>
  <c r="S49" i="2"/>
  <c r="T46" i="2"/>
  <c r="AE33" i="2"/>
  <c r="T20" i="2"/>
  <c r="W57" i="2"/>
  <c r="W56" i="2"/>
  <c r="T43" i="2"/>
  <c r="Z39" i="2"/>
  <c r="Z38" i="2"/>
  <c r="Y36" i="2"/>
  <c r="T35" i="2"/>
  <c r="AF30" i="2"/>
  <c r="S22" i="2"/>
  <c r="AF65" i="2"/>
  <c r="AF64" i="2"/>
  <c r="AE63" i="2"/>
  <c r="S62" i="2"/>
  <c r="Z61" i="2"/>
  <c r="S61" i="2"/>
  <c r="Z59" i="2"/>
  <c r="AE58" i="2"/>
  <c r="T58" i="2"/>
  <c r="AE56" i="2"/>
  <c r="S56" i="2"/>
  <c r="AF53" i="2"/>
  <c r="AF51" i="2"/>
  <c r="AF50" i="2"/>
  <c r="AF49" i="2"/>
  <c r="AF47" i="2"/>
  <c r="S46" i="2"/>
  <c r="Z44" i="2"/>
  <c r="Z41" i="2"/>
  <c r="Z33" i="2"/>
  <c r="Z32" i="2"/>
  <c r="Z31" i="2"/>
  <c r="T30" i="2"/>
  <c r="AD25" i="2"/>
  <c r="Y22" i="2"/>
  <c r="AF20" i="2"/>
  <c r="AE65" i="2"/>
  <c r="T65" i="2"/>
  <c r="AE64" i="2"/>
  <c r="T63" i="2"/>
  <c r="Z62" i="2"/>
  <c r="Y61" i="2"/>
  <c r="T60" i="2"/>
  <c r="W59" i="2"/>
  <c r="S58" i="2"/>
  <c r="Y57" i="2"/>
  <c r="AF55" i="2"/>
  <c r="T55" i="2"/>
  <c r="Z54" i="2"/>
  <c r="AE53" i="2"/>
  <c r="T53" i="2"/>
  <c r="AE49" i="2"/>
  <c r="T49" i="2"/>
  <c r="Z48" i="2"/>
  <c r="AF46" i="2"/>
  <c r="Y44" i="2"/>
  <c r="S38" i="2"/>
  <c r="Z37" i="2"/>
  <c r="R31" i="2"/>
  <c r="T27" i="2"/>
  <c r="T19" i="2"/>
  <c r="Z14" i="2"/>
  <c r="AF43" i="2"/>
  <c r="AF37" i="2"/>
  <c r="T36" i="2"/>
  <c r="AF34" i="2"/>
  <c r="AF28" i="2"/>
  <c r="T26" i="2"/>
  <c r="AF19" i="2"/>
  <c r="AF14" i="2"/>
  <c r="W64" i="2"/>
  <c r="X43" i="2"/>
  <c r="Z42" i="2"/>
  <c r="T40" i="2"/>
  <c r="AE35" i="2"/>
  <c r="AE34" i="2"/>
  <c r="AD31" i="2"/>
  <c r="Z26" i="2"/>
  <c r="Z25" i="2"/>
  <c r="X19" i="2"/>
  <c r="W45" i="2"/>
  <c r="W50" i="2"/>
  <c r="AA23" i="2"/>
  <c r="AD65" i="2"/>
  <c r="V65" i="2"/>
  <c r="Y64" i="2"/>
  <c r="AH63" i="2"/>
  <c r="AG62" i="2"/>
  <c r="Y62" i="2"/>
  <c r="AH61" i="2"/>
  <c r="AA61" i="2"/>
  <c r="AB60" i="2"/>
  <c r="AE59" i="2"/>
  <c r="V57" i="2"/>
  <c r="AB56" i="2"/>
  <c r="AH55" i="2"/>
  <c r="X55" i="2"/>
  <c r="S54" i="2"/>
  <c r="V52" i="2"/>
  <c r="Y51" i="2"/>
  <c r="AB50" i="2"/>
  <c r="Y49" i="2"/>
  <c r="AE48" i="2"/>
  <c r="Y47" i="2"/>
  <c r="S45" i="2"/>
  <c r="AD43" i="2"/>
  <c r="S42" i="2"/>
  <c r="S40" i="2"/>
  <c r="Y39" i="2"/>
  <c r="AH33" i="2"/>
  <c r="V31" i="2"/>
  <c r="U30" i="2"/>
  <c r="AH28" i="2"/>
  <c r="AA25" i="2"/>
  <c r="V24" i="2"/>
  <c r="V20" i="2"/>
  <c r="Y19" i="2"/>
  <c r="AA18" i="2"/>
  <c r="AE29" i="2"/>
  <c r="AA21" i="2"/>
  <c r="Y13" i="2"/>
  <c r="W60" i="2"/>
  <c r="Y50" i="2"/>
  <c r="AG49" i="2"/>
  <c r="AA47" i="2"/>
  <c r="Y45" i="2"/>
  <c r="AE44" i="2"/>
  <c r="W44" i="2"/>
  <c r="R43" i="2"/>
  <c r="T42" i="2"/>
  <c r="Y41" i="2"/>
  <c r="T39" i="2"/>
  <c r="W38" i="2"/>
  <c r="AD37" i="2"/>
  <c r="T37" i="2"/>
  <c r="Y35" i="2"/>
  <c r="AE30" i="2"/>
  <c r="AF29" i="2"/>
  <c r="AG28" i="2"/>
  <c r="S27" i="2"/>
  <c r="AF25" i="2"/>
  <c r="T25" i="2"/>
  <c r="AA20" i="2"/>
  <c r="W27" i="2"/>
  <c r="W21" i="2"/>
  <c r="W39" i="2"/>
  <c r="S63" i="2"/>
  <c r="AD61" i="2"/>
  <c r="X61" i="2"/>
  <c r="R61" i="2"/>
  <c r="AA60" i="2"/>
  <c r="S60" i="2"/>
  <c r="AA59" i="2"/>
  <c r="S59" i="2"/>
  <c r="R55" i="2"/>
  <c r="W51" i="2"/>
  <c r="AE50" i="2"/>
  <c r="X49" i="2"/>
  <c r="S47" i="2"/>
  <c r="Y46" i="2"/>
  <c r="AE45" i="2"/>
  <c r="S44" i="2"/>
  <c r="S43" i="2"/>
  <c r="Y42" i="2"/>
  <c r="S41" i="2"/>
  <c r="Y40" i="2"/>
  <c r="U39" i="2"/>
  <c r="AA37" i="2"/>
  <c r="R37" i="2"/>
  <c r="AA35" i="2"/>
  <c r="S31" i="2"/>
  <c r="AE28" i="2"/>
  <c r="AE26" i="2"/>
  <c r="U25" i="2"/>
  <c r="Y23" i="2"/>
  <c r="S18" i="2"/>
  <c r="AA16" i="2"/>
  <c r="Y60" i="2"/>
  <c r="Y59" i="2"/>
  <c r="S57" i="2"/>
  <c r="AA56" i="2"/>
  <c r="Y55" i="2"/>
  <c r="U51" i="2"/>
  <c r="U49" i="2"/>
  <c r="S48" i="2"/>
  <c r="Y43" i="2"/>
  <c r="S39" i="2"/>
  <c r="R25" i="2"/>
  <c r="W49" i="2"/>
  <c r="W46" i="2"/>
  <c r="W43" i="2"/>
  <c r="AF42" i="2"/>
  <c r="W42" i="2"/>
  <c r="AF41" i="2"/>
  <c r="W41" i="2"/>
  <c r="AF40" i="2"/>
  <c r="W40" i="2"/>
  <c r="AE39" i="2"/>
  <c r="AE38" i="2"/>
  <c r="AE37" i="2"/>
  <c r="Y37" i="2"/>
  <c r="S37" i="2"/>
  <c r="S36" i="2"/>
  <c r="S35" i="2"/>
  <c r="Z34" i="2"/>
  <c r="Y33" i="2"/>
  <c r="AF32" i="2"/>
  <c r="Y32" i="2"/>
  <c r="AF31" i="2"/>
  <c r="Y31" i="2"/>
  <c r="Z30" i="2"/>
  <c r="S30" i="2"/>
  <c r="Z29" i="2"/>
  <c r="Z28" i="2"/>
  <c r="AF27" i="2"/>
  <c r="S26" i="2"/>
  <c r="W25" i="2"/>
  <c r="T24" i="2"/>
  <c r="AE22" i="2"/>
  <c r="AF21" i="2"/>
  <c r="T21" i="2"/>
  <c r="Z20" i="2"/>
  <c r="AE19" i="2"/>
  <c r="W17" i="2"/>
  <c r="W14" i="2"/>
  <c r="W65" i="2"/>
  <c r="Z57" i="2"/>
  <c r="Z56" i="2"/>
  <c r="Z55" i="2"/>
  <c r="S55" i="2"/>
  <c r="T54" i="2"/>
  <c r="S53" i="2"/>
  <c r="S52" i="2"/>
  <c r="Z51" i="2"/>
  <c r="S51" i="2"/>
  <c r="Z50" i="2"/>
  <c r="AF48" i="2"/>
  <c r="W48" i="2"/>
  <c r="AE47" i="2"/>
  <c r="W47" i="2"/>
  <c r="AE46" i="2"/>
  <c r="T45" i="2"/>
  <c r="T44" i="2"/>
  <c r="AE42" i="2"/>
  <c r="AE41" i="2"/>
  <c r="AE40" i="2"/>
  <c r="T38" i="2"/>
  <c r="Z36" i="2"/>
  <c r="AH35" i="2"/>
  <c r="Z35" i="2"/>
  <c r="AH34" i="2"/>
  <c r="Y34" i="2"/>
  <c r="AF33" i="2"/>
  <c r="W33" i="2"/>
  <c r="AE32" i="2"/>
  <c r="W32" i="2"/>
  <c r="AE31" i="2"/>
  <c r="X31" i="2"/>
  <c r="AH30" i="2"/>
  <c r="Y30" i="2"/>
  <c r="AH29" i="2"/>
  <c r="Y29" i="2"/>
  <c r="Y28" i="2"/>
  <c r="AE27" i="2"/>
  <c r="AB26" i="2"/>
  <c r="AH25" i="2"/>
  <c r="AB25" i="2"/>
  <c r="V25" i="2"/>
  <c r="AF24" i="2"/>
  <c r="S24" i="2"/>
  <c r="Z23" i="2"/>
  <c r="AH20" i="2"/>
  <c r="Y20" i="2"/>
  <c r="AD19" i="2"/>
  <c r="V19" i="2"/>
  <c r="V17" i="2"/>
  <c r="AH14" i="2"/>
  <c r="V14" i="2"/>
  <c r="Z13" i="2"/>
  <c r="W37" i="2"/>
  <c r="W34" i="2"/>
  <c r="W31" i="2"/>
  <c r="W30" i="2"/>
  <c r="W29" i="2"/>
  <c r="W28" i="2"/>
  <c r="W18" i="2"/>
  <c r="W36" i="2"/>
  <c r="W35" i="2"/>
  <c r="W13" i="2"/>
  <c r="W58" i="2"/>
  <c r="W55" i="2"/>
  <c r="W54" i="2"/>
  <c r="W53" i="2"/>
  <c r="W52" i="2"/>
  <c r="AE36" i="2"/>
  <c r="T34" i="2"/>
  <c r="S33" i="2"/>
  <c r="S32" i="2"/>
  <c r="T31" i="2"/>
  <c r="T29" i="2"/>
  <c r="T28" i="2"/>
  <c r="Z27" i="2"/>
  <c r="AF26" i="2"/>
  <c r="W26" i="2"/>
  <c r="AE25" i="2"/>
  <c r="Y25" i="2"/>
  <c r="S25" i="2"/>
  <c r="Y24" i="2"/>
  <c r="T23" i="2"/>
  <c r="Z21" i="2"/>
  <c r="Z19" i="2"/>
  <c r="AE13" i="2"/>
  <c r="T13" i="2"/>
  <c r="AG65" i="2"/>
  <c r="AA65" i="2"/>
  <c r="U65" i="2"/>
  <c r="AA63" i="2"/>
  <c r="AG59" i="2"/>
  <c r="U58" i="2"/>
  <c r="AG56" i="2"/>
  <c r="AA54" i="2"/>
  <c r="AA51" i="2"/>
  <c r="AG47" i="2"/>
  <c r="U46" i="2"/>
  <c r="AG44" i="2"/>
  <c r="AA42" i="2"/>
  <c r="AA39" i="2"/>
  <c r="AG35" i="2"/>
  <c r="U34" i="2"/>
  <c r="AG32" i="2"/>
  <c r="AA30" i="2"/>
  <c r="AH27" i="2"/>
  <c r="AA27" i="2"/>
  <c r="V26" i="2"/>
  <c r="AE24" i="2"/>
  <c r="W24" i="2"/>
  <c r="AG23" i="2"/>
  <c r="S23" i="2"/>
  <c r="AA22" i="2"/>
  <c r="AH21" i="2"/>
  <c r="AG20" i="2"/>
  <c r="S20" i="2"/>
  <c r="W19" i="2"/>
  <c r="AH18" i="2"/>
  <c r="Y18" i="2"/>
  <c r="AG17" i="2"/>
  <c r="U17" i="2"/>
  <c r="W16" i="2"/>
  <c r="U14" i="2"/>
  <c r="V13" i="2"/>
  <c r="AA58" i="2"/>
  <c r="AG54" i="2"/>
  <c r="U53" i="2"/>
  <c r="AG51" i="2"/>
  <c r="U50" i="2"/>
  <c r="AA46" i="2"/>
  <c r="AG42" i="2"/>
  <c r="U41" i="2"/>
  <c r="AG39" i="2"/>
  <c r="U38" i="2"/>
  <c r="AA34" i="2"/>
  <c r="AG30" i="2"/>
  <c r="U29" i="2"/>
  <c r="AG27" i="2"/>
  <c r="U26" i="2"/>
  <c r="AG21" i="2"/>
  <c r="AG18" i="2"/>
  <c r="U13" i="2"/>
  <c r="AA62" i="2"/>
  <c r="U60" i="2"/>
  <c r="AG58" i="2"/>
  <c r="U57" i="2"/>
  <c r="AG55" i="2"/>
  <c r="AA55" i="2"/>
  <c r="U55" i="2"/>
  <c r="AA53" i="2"/>
  <c r="AA50" i="2"/>
  <c r="U48" i="2"/>
  <c r="AG46" i="2"/>
  <c r="U45" i="2"/>
  <c r="AG43" i="2"/>
  <c r="AA43" i="2"/>
  <c r="U43" i="2"/>
  <c r="AA41" i="2"/>
  <c r="AA38" i="2"/>
  <c r="U36" i="2"/>
  <c r="AG34" i="2"/>
  <c r="U33" i="2"/>
  <c r="AG31" i="2"/>
  <c r="AA31" i="2"/>
  <c r="U31" i="2"/>
  <c r="AA29" i="2"/>
  <c r="Y27" i="2"/>
  <c r="AH26" i="2"/>
  <c r="AA26" i="2"/>
  <c r="AB24" i="2"/>
  <c r="U24" i="2"/>
  <c r="AE23" i="2"/>
  <c r="W23" i="2"/>
  <c r="AG22" i="2"/>
  <c r="W22" i="2"/>
  <c r="V21" i="2"/>
  <c r="AE20" i="2"/>
  <c r="W20" i="2"/>
  <c r="AG19" i="2"/>
  <c r="AA19" i="2"/>
  <c r="U19" i="2"/>
  <c r="AE18" i="2"/>
  <c r="V18" i="2"/>
  <c r="AB17" i="2"/>
  <c r="AG16" i="2"/>
  <c r="U16" i="2"/>
  <c r="AA14" i="2"/>
  <c r="AH13" i="2"/>
  <c r="AA13" i="2"/>
  <c r="AA57" i="2"/>
  <c r="AG53" i="2"/>
  <c r="U52" i="2"/>
  <c r="AG50" i="2"/>
  <c r="AA48" i="2"/>
  <c r="AA45" i="2"/>
  <c r="AG41" i="2"/>
  <c r="U40" i="2"/>
  <c r="AG38" i="2"/>
  <c r="AA36" i="2"/>
  <c r="AA33" i="2"/>
  <c r="AG29" i="2"/>
  <c r="U28" i="2"/>
  <c r="AG26" i="2"/>
  <c r="AA24" i="2"/>
  <c r="U21" i="2"/>
  <c r="U18" i="2"/>
  <c r="AA17" i="2"/>
  <c r="AG13" i="2"/>
  <c r="AG60" i="2"/>
  <c r="U59" i="2"/>
  <c r="AG57" i="2"/>
  <c r="U56" i="2"/>
  <c r="AA52" i="2"/>
  <c r="AG48" i="2"/>
  <c r="U47" i="2"/>
  <c r="AG45" i="2"/>
  <c r="U44" i="2"/>
  <c r="AA40" i="2"/>
  <c r="AG36" i="2"/>
  <c r="U35" i="2"/>
  <c r="AG33" i="2"/>
  <c r="U32" i="2"/>
  <c r="AA28" i="2"/>
  <c r="AG24" i="2"/>
  <c r="U23" i="2"/>
  <c r="U22" i="2"/>
  <c r="U20" i="2"/>
  <c r="AG14" i="2"/>
  <c r="AD62" i="2"/>
  <c r="X62" i="2"/>
  <c r="R62" i="2"/>
  <c r="AD56" i="2"/>
  <c r="X56" i="2"/>
  <c r="R56" i="2"/>
  <c r="AD50" i="2"/>
  <c r="X50" i="2"/>
  <c r="R50" i="2"/>
  <c r="AD44" i="2"/>
  <c r="X44" i="2"/>
  <c r="R44" i="2"/>
  <c r="AD38" i="2"/>
  <c r="X38" i="2"/>
  <c r="R38" i="2"/>
  <c r="AD32" i="2"/>
  <c r="X32" i="2"/>
  <c r="R32" i="2"/>
  <c r="AD26" i="2"/>
  <c r="X26" i="2"/>
  <c r="R26" i="2"/>
  <c r="AF22" i="2"/>
  <c r="Z22" i="2"/>
  <c r="T22" i="2"/>
  <c r="AE21" i="2"/>
  <c r="Y21" i="2"/>
  <c r="S21" i="2"/>
  <c r="AD20" i="2"/>
  <c r="X20" i="2"/>
  <c r="R20" i="2"/>
  <c r="AF16" i="2"/>
  <c r="Z16" i="2"/>
  <c r="T16" i="2"/>
  <c r="AE14" i="2"/>
  <c r="Y14" i="2"/>
  <c r="S14" i="2"/>
  <c r="AD13" i="2"/>
  <c r="X13" i="2"/>
  <c r="R13" i="2"/>
  <c r="AD63" i="2"/>
  <c r="X63" i="2"/>
  <c r="R63" i="2"/>
  <c r="AD57" i="2"/>
  <c r="X57" i="2"/>
  <c r="R57" i="2"/>
  <c r="AD51" i="2"/>
  <c r="X51" i="2"/>
  <c r="R51" i="2"/>
  <c r="AD45" i="2"/>
  <c r="X45" i="2"/>
  <c r="R45" i="2"/>
  <c r="AD39" i="2"/>
  <c r="X39" i="2"/>
  <c r="R39" i="2"/>
  <c r="AD33" i="2"/>
  <c r="X33" i="2"/>
  <c r="R33" i="2"/>
  <c r="AD27" i="2"/>
  <c r="X27" i="2"/>
  <c r="R27" i="2"/>
  <c r="AD21" i="2"/>
  <c r="X21" i="2"/>
  <c r="R21" i="2"/>
  <c r="AF17" i="2"/>
  <c r="Z17" i="2"/>
  <c r="T17" i="2"/>
  <c r="AE16" i="2"/>
  <c r="Y16" i="2"/>
  <c r="S16" i="2"/>
  <c r="AD14" i="2"/>
  <c r="X14" i="2"/>
  <c r="R14" i="2"/>
  <c r="AD64" i="2"/>
  <c r="X64" i="2"/>
  <c r="R64" i="2"/>
  <c r="AD58" i="2"/>
  <c r="X58" i="2"/>
  <c r="R58" i="2"/>
  <c r="AD52" i="2"/>
  <c r="X52" i="2"/>
  <c r="R52" i="2"/>
  <c r="AD46" i="2"/>
  <c r="X46" i="2"/>
  <c r="R46" i="2"/>
  <c r="AD40" i="2"/>
  <c r="X40" i="2"/>
  <c r="R40" i="2"/>
  <c r="AD34" i="2"/>
  <c r="X34" i="2"/>
  <c r="R34" i="2"/>
  <c r="AD28" i="2"/>
  <c r="X28" i="2"/>
  <c r="R28" i="2"/>
  <c r="AD22" i="2"/>
  <c r="X22" i="2"/>
  <c r="R22" i="2"/>
  <c r="AF18" i="2"/>
  <c r="Z18" i="2"/>
  <c r="T18" i="2"/>
  <c r="AE17" i="2"/>
  <c r="Y17" i="2"/>
  <c r="S17" i="2"/>
  <c r="AD16" i="2"/>
  <c r="X16" i="2"/>
  <c r="R16" i="2"/>
  <c r="AD59" i="2"/>
  <c r="X59" i="2"/>
  <c r="R59" i="2"/>
  <c r="AD53" i="2"/>
  <c r="X53" i="2"/>
  <c r="R53" i="2"/>
  <c r="AD47" i="2"/>
  <c r="X47" i="2"/>
  <c r="R47" i="2"/>
  <c r="AD41" i="2"/>
  <c r="X41" i="2"/>
  <c r="R41" i="2"/>
  <c r="AD35" i="2"/>
  <c r="X35" i="2"/>
  <c r="R35" i="2"/>
  <c r="AD29" i="2"/>
  <c r="X29" i="2"/>
  <c r="R29" i="2"/>
  <c r="AD23" i="2"/>
  <c r="X23" i="2"/>
  <c r="R23" i="2"/>
  <c r="AD17" i="2"/>
  <c r="X17" i="2"/>
  <c r="R17" i="2"/>
  <c r="AD60" i="2"/>
  <c r="X60" i="2"/>
  <c r="R60" i="2"/>
  <c r="AD54" i="2"/>
  <c r="X54" i="2"/>
  <c r="R54" i="2"/>
  <c r="AD48" i="2"/>
  <c r="X48" i="2"/>
  <c r="R48" i="2"/>
  <c r="AD42" i="2"/>
  <c r="X42" i="2"/>
  <c r="R42" i="2"/>
  <c r="AD36" i="2"/>
  <c r="X36" i="2"/>
  <c r="R36" i="2"/>
  <c r="AD30" i="2"/>
  <c r="X30" i="2"/>
  <c r="R30" i="2"/>
  <c r="AD24" i="2"/>
  <c r="X24" i="2"/>
  <c r="R24" i="2"/>
  <c r="AD18" i="2"/>
  <c r="X18" i="2"/>
  <c r="R18" i="2"/>
  <c r="AI66" i="2" l="1"/>
  <c r="AI65" i="2"/>
  <c r="AI62" i="2"/>
  <c r="AI61" i="2"/>
  <c r="AI59" i="2"/>
  <c r="AI58" i="2"/>
  <c r="AI57" i="2"/>
  <c r="AI53" i="2"/>
  <c r="AI52" i="2"/>
  <c r="AI51" i="2"/>
  <c r="AI50" i="2"/>
  <c r="AI49" i="2"/>
  <c r="AI48" i="2"/>
  <c r="AI47" i="2"/>
  <c r="AI45" i="2"/>
  <c r="AI44" i="2"/>
  <c r="AI43" i="2"/>
  <c r="AI41" i="2"/>
  <c r="AI40" i="2"/>
  <c r="AI39" i="2"/>
  <c r="AI38" i="2"/>
  <c r="AI37" i="2"/>
  <c r="AI36" i="2"/>
  <c r="AI35" i="2"/>
  <c r="AI34" i="2"/>
  <c r="AI33" i="2"/>
  <c r="AI32" i="2"/>
  <c r="AI30" i="2"/>
  <c r="AI29" i="2"/>
  <c r="AI28" i="2"/>
  <c r="AI27" i="2"/>
  <c r="AI26" i="2"/>
  <c r="AI24" i="2"/>
  <c r="AI23" i="2"/>
  <c r="AI22" i="2"/>
  <c r="AI21" i="2"/>
  <c r="AI20" i="2"/>
  <c r="AI18" i="2"/>
  <c r="AI13" i="2"/>
  <c r="AI60" i="2"/>
  <c r="AI56" i="2"/>
  <c r="AI55" i="2"/>
  <c r="AI46" i="2"/>
  <c r="AI42" i="2"/>
  <c r="AI31" i="2"/>
  <c r="AI54" i="2"/>
  <c r="AI25" i="2"/>
  <c r="AI19" i="2"/>
  <c r="AI14" i="2"/>
  <c r="AI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<sst xmlns="http://schemas.openxmlformats.org/spreadsheetml/2006/main" count="2292" uniqueCount="381">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</sst>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2" zoomScaleNormal="100" zoomScaleSheetLayoutView="100" workbookViewId="0">
      <selection activeCell="AO15" sqref="AO15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44">
        <f>EDATE(演算タグ!B1,-3)</f>
        <v>45170</v>
      </c>
      <c r="B2" s="244"/>
      <c r="C2" s="245">
        <f>演算タグ!B1</f>
        <v>45261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tr">
        <f>IF(D13="","",IF(演算タグ!D9=0,"",REPLACE(演算タグ!E9,8,0,"/")))</f>
        <v>2023/12/11</v>
      </c>
      <c r="E9" s="149" t="str">
        <f>IF(E13="","",IF(演算タグ!F9=0,"",REPLACE(演算タグ!G9,8,0,"/")))</f>
        <v>2023/12/11</v>
      </c>
      <c r="F9" s="149" t="str">
        <f>IF(F13="","",IF(演算タグ!H9=0,"",REPLACE(演算タグ!I9,8,0,"/")))</f>
        <v>2023/12/11</v>
      </c>
      <c r="G9" s="149" t="str">
        <f>IF(G13="","",IF(演算タグ!J9=0,"",REPLACE(演算タグ!K9,8,0,"/")))</f>
        <v>2023/12/11</v>
      </c>
      <c r="H9" s="149" t="str">
        <f>IF(H13="","",IF(演算タグ!L9=0,"",REPLACE(演算タグ!M9,8,0,"/")))</f>
        <v>2023/12/11</v>
      </c>
      <c r="I9" s="192" t="str">
        <f>IF(I13="","",IF(演算タグ!N9=0,"",REPLACE(演算タグ!O9,8,0,"/")))</f>
        <v>2023/12/11</v>
      </c>
      <c r="J9" s="205"/>
      <c r="K9" s="149"/>
      <c r="L9" s="149"/>
      <c r="M9" s="149"/>
      <c r="N9" s="149"/>
      <c r="O9" s="206"/>
      <c r="P9" s="149"/>
      <c r="Q9" s="150"/>
      <c r="R9" s="58" t="e">
        <f>#REF!</f>
        <v>#REF!</v>
      </c>
      <c r="S9" s="59" t="e">
        <f>#REF!</f>
        <v>#REF!</v>
      </c>
      <c r="T9" s="59" t="e">
        <f>#REF!</f>
        <v>#REF!</v>
      </c>
      <c r="U9" s="59" t="e">
        <f>#REF!</f>
        <v>#REF!</v>
      </c>
      <c r="V9" s="59" t="e">
        <f>#REF!</f>
        <v>#REF!</v>
      </c>
      <c r="W9" s="59" t="e">
        <f>#REF!</f>
        <v>#REF!</v>
      </c>
      <c r="X9" s="59" t="e">
        <f>#REF!</f>
        <v>#REF!</v>
      </c>
      <c r="Y9" s="59" t="e">
        <f>#REF!</f>
        <v>#REF!</v>
      </c>
      <c r="Z9" s="59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tr">
        <f>IF(演算タグ!D10=0,"",REPLACE(演算タグ!E10,3,0,":"))</f>
        <v>10:11</v>
      </c>
      <c r="E10" s="66" t="str">
        <f>IF(演算タグ!F10=0,"",REPLACE(演算タグ!G10,3,0,":"))</f>
        <v>10:48</v>
      </c>
      <c r="F10" s="66" t="str">
        <f>IF(演算タグ!H10=0,"",REPLACE(演算タグ!I10,3,0,":"))</f>
        <v>09:51</v>
      </c>
      <c r="G10" s="66" t="str">
        <f>IF(演算タグ!J10=0,"",REPLACE(演算タグ!K10,3,0,":"))</f>
        <v>10:21</v>
      </c>
      <c r="H10" s="66" t="str">
        <f>IF(演算タグ!L10=0,"",REPLACE(演算タグ!M10,3,0,":"))</f>
        <v>09:32</v>
      </c>
      <c r="I10" s="112" t="str">
        <f>IF(演算タグ!N10=0,"",REPLACE(演算タグ!O10,3,0,":"))</f>
        <v>09:17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tr">
        <f>IF(D13="","",IFERROR(IF(演算タグ!D11="","",演算タグ!D11),""))</f>
        <v>晴|曇</v>
      </c>
      <c r="E11" s="66" t="str">
        <f>IF(E13="","",IFERROR(IF(演算タグ!F11="","",演算タグ!F11),""))</f>
        <v>晴|曇</v>
      </c>
      <c r="F11" s="66" t="str">
        <f>IF(F13="","",IFERROR(IF(演算タグ!H11="","",演算タグ!H11),""))</f>
        <v>晴|曇</v>
      </c>
      <c r="G11" s="66" t="str">
        <f>IF(G13="","",IFERROR(IF(演算タグ!J11="","",演算タグ!J11),""))</f>
        <v>晴|曇</v>
      </c>
      <c r="H11" s="66" t="str">
        <f>IF(H13="","",IFERROR(IF(演算タグ!L11="","",演算タグ!L11),""))</f>
        <v>晴|曇</v>
      </c>
      <c r="I11" s="112" t="str">
        <f>IF(I13="","",IFERROR(IF(演算タグ!N11="","",演算タグ!N11),""))</f>
        <v>晴|曇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tr">
        <f>IF(D13="","",IFERROR(IF(演算タグ!D12="","",演算タグ!D12),""))</f>
        <v>晴/雨</v>
      </c>
      <c r="E12" s="66" t="str">
        <f>IF(E13="","",IFERROR(IF(演算タグ!F12="","",演算タグ!F12),""))</f>
        <v>晴/雨</v>
      </c>
      <c r="F12" s="66" t="str">
        <f>IF(F13="","",IFERROR(IF(演算タグ!H12="","",演算タグ!H12),""))</f>
        <v>晴/雨</v>
      </c>
      <c r="G12" s="66" t="str">
        <f>IF(G13="","",IFERROR(IF(演算タグ!J12="","",演算タグ!J12),""))</f>
        <v>晴/雨</v>
      </c>
      <c r="H12" s="66" t="str">
        <f>IF(H13="","",IFERROR(IF(演算タグ!L12="","",演算タグ!L12),""))</f>
        <v>晴/雨</v>
      </c>
      <c r="I12" s="112" t="str">
        <f>IF(I13="","",IFERROR(IF(演算タグ!N12="","",演算タグ!N12),""))</f>
        <v>晴/雨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f>IF(cnt_小原東部浄水!$BX$5=0,"",演算タグ!D13)</f>
        <v>9.1999999999999993</v>
      </c>
      <c r="E13" s="68">
        <f>IF(cnt_簗平!$BX$5=0,"",演算タグ!F13)</f>
        <v>10.199999999999999</v>
      </c>
      <c r="F13" s="68">
        <f>IF(cnt_小原北部浄水!$BX$5=0,"",演算タグ!H13)</f>
        <v>8.6</v>
      </c>
      <c r="G13" s="68">
        <f>IF(cnt_大ケ蔵連!$BX$5=0,"",演算タグ!J13)</f>
        <v>11</v>
      </c>
      <c r="H13" s="68">
        <f>IF(cnt_小原西部浄水!$BX$5=0,"",演算タグ!L13)</f>
        <v>8.6</v>
      </c>
      <c r="I13" s="193">
        <f>IF(cnt_喜佐平!$BX$5=0,"",演算タグ!N13)</f>
        <v>9.1999999999999993</v>
      </c>
      <c r="J13" s="68"/>
      <c r="K13" s="68"/>
      <c r="L13" s="68"/>
      <c r="M13" s="68"/>
      <c r="N13" s="68"/>
      <c r="O13" s="123"/>
      <c r="P13" s="67"/>
      <c r="Q13" s="123"/>
      <c r="R13" s="67" t="str">
        <f>IFERROR(VLOOKUP(R$9,#REF!,2,FALSE),"")</f>
        <v/>
      </c>
      <c r="S13" s="68" t="str">
        <f>IFERROR(VLOOKUP(S$9,#REF!,2,FALSE),"")</f>
        <v/>
      </c>
      <c r="T13" s="68" t="str">
        <f>IFERROR(VLOOKUP(T$9,#REF!,2,FALSE),"")</f>
        <v/>
      </c>
      <c r="U13" s="68" t="str">
        <f>IFERROR(VLOOKUP(U$9,#REF!,2,FALSE),"")</f>
        <v/>
      </c>
      <c r="V13" s="68" t="str">
        <f>IFERROR(VLOOKUP(V$9,#REF!,2,FALSE),"")</f>
        <v/>
      </c>
      <c r="W13" s="68" t="str">
        <f>IFERROR(VLOOKUP(W$9,#REF!,2,FALSE),"")</f>
        <v/>
      </c>
      <c r="X13" s="68" t="str">
        <f>IFERROR(VLOOKUP(X$9,#REF!,2,FALSE),"")</f>
        <v/>
      </c>
      <c r="Y13" s="68" t="str">
        <f>IFERROR(VLOOKUP(Y$9,#REF!,2,FALSE),"")</f>
        <v/>
      </c>
      <c r="Z13" s="68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IFERROR(VLOOKUP(ACN$9,#REF!,2,FALSE),"")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9" t="e">
        <f>#REF!</f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f>IF(cnt_小原東部浄水!$BY$5=0,"",演算タグ!D14)</f>
        <v>8.9</v>
      </c>
      <c r="E14" s="75">
        <f>IF(cnt_簗平!$BY$5=0,"",演算タグ!F14)</f>
        <v>12.7</v>
      </c>
      <c r="F14" s="75">
        <f>IF(cnt_小原北部浄水!$BY$5=0,"",演算タグ!H14)</f>
        <v>8.9</v>
      </c>
      <c r="G14" s="75">
        <f>IF(cnt_大ケ蔵連!$BY$5=0,"",演算タグ!J14)</f>
        <v>11.5</v>
      </c>
      <c r="H14" s="75">
        <f>IF(cnt_小原西部浄水!$BY$5=0,"",演算タグ!L14)</f>
        <v>10.7</v>
      </c>
      <c r="I14" s="194">
        <f>IF(cnt_喜佐平!$BY$5=0,"",演算タグ!N14)</f>
        <v>11.7</v>
      </c>
      <c r="J14" s="75"/>
      <c r="K14" s="75"/>
      <c r="L14" s="75"/>
      <c r="M14" s="75"/>
      <c r="N14" s="75"/>
      <c r="O14" s="165"/>
      <c r="P14" s="74"/>
      <c r="Q14" s="153"/>
      <c r="R14" s="67" t="str">
        <f>IFERROR(VLOOKUP(R$9,#REF!,3,FALSE),"")</f>
        <v/>
      </c>
      <c r="S14" s="68" t="str">
        <f>IFERROR(VLOOKUP(S$9,#REF!,3,FALSE),"")</f>
        <v/>
      </c>
      <c r="T14" s="68" t="str">
        <f>IFERROR(VLOOKUP(T$9,#REF!,3,FALSE),"")</f>
        <v/>
      </c>
      <c r="U14" s="68" t="str">
        <f>IFERROR(VLOOKUP(U$9,#REF!,3,FALSE),"")</f>
        <v/>
      </c>
      <c r="V14" s="68" t="str">
        <f>IFERROR(VLOOKUP(V$9,#REF!,3,FALSE),"")</f>
        <v/>
      </c>
      <c r="W14" s="68" t="str">
        <f>IFERROR(VLOOKUP(W$9,#REF!,3,FALSE),"")</f>
        <v/>
      </c>
      <c r="X14" s="68" t="str">
        <f>IFERROR(VLOOKUP(X$9,#REF!,3,FALSE),"")</f>
        <v/>
      </c>
      <c r="Y14" s="68" t="str">
        <f>IFERROR(VLOOKUP(Y$9,#REF!,3,FALSE),"")</f>
        <v/>
      </c>
      <c r="Z14" s="68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IFERROR(VLOOKUP(ACN$9,#REF!,3,FALSE),"")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9" t="e">
        <f>#REF!</f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f>IF(cnt_小原東部浄水!$B$5=0,"",演算タグ!D16)</f>
        <v>0</v>
      </c>
      <c r="E16" s="82">
        <f>IF(cnt_簗平!$B$5=0,"",演算タグ!F16)</f>
        <v>0</v>
      </c>
      <c r="F16" s="82">
        <f>IF(cnt_小原北部浄水!$B$5=0,"",演算タグ!H16)</f>
        <v>0</v>
      </c>
      <c r="G16" s="82">
        <f>IF(cnt_大ケ蔵連!$B$5=0,"",演算タグ!J16)</f>
        <v>0</v>
      </c>
      <c r="H16" s="82">
        <f>IF(cnt_小原西部浄水!$B$5=0,"",演算タグ!L16)</f>
        <v>0</v>
      </c>
      <c r="I16" s="195">
        <f>IF(cnt_喜佐平!$B$5=0,"",演算タグ!N16)</f>
        <v>0</v>
      </c>
      <c r="J16" s="82"/>
      <c r="K16" s="82"/>
      <c r="L16" s="82"/>
      <c r="M16" s="82"/>
      <c r="N16" s="82"/>
      <c r="O16" s="207"/>
      <c r="P16" s="56"/>
      <c r="Q16" s="82"/>
      <c r="R16" s="64" t="str">
        <f>IFERROR(VLOOKUP(R$9,#REF!,9,FALSE),"")</f>
        <v/>
      </c>
      <c r="S16" s="66" t="str">
        <f>IFERROR(VLOOKUP(S$9,#REF!,9,FALSE),"")</f>
        <v/>
      </c>
      <c r="T16" s="66" t="str">
        <f>IFERROR(VLOOKUP(T$9,#REF!,9,FALSE),"")</f>
        <v/>
      </c>
      <c r="U16" s="66" t="str">
        <f>IFERROR(VLOOKUP(U$9,#REF!,9,FALSE),"")</f>
        <v/>
      </c>
      <c r="V16" s="66" t="str">
        <f>IFERROR(VLOOKUP(V$9,#REF!,9,FALSE),"")</f>
        <v/>
      </c>
      <c r="W16" s="66" t="str">
        <f>IFERROR(VLOOKUP(W$9,#REF!,9,FALSE),"")</f>
        <v/>
      </c>
      <c r="X16" s="66" t="str">
        <f>IFERROR(VLOOKUP(X$9,#REF!,9,FALSE),"")</f>
        <v/>
      </c>
      <c r="Y16" s="66" t="str">
        <f>IFERROR(VLOOKUP(Y$9,#REF!,9,FALSE),"")</f>
        <v/>
      </c>
      <c r="Z16" s="66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IFERROR(VLOOKUP(ACN$9,#REF!,9,FALSE),"")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9" t="e">
        <f>#REF!</f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tr">
        <f>IF(OR(cnt_小原東部浄水!$C$5=0,cnt_小原東部浄水!$C$5=""),"",IF(演算タグ!D17=2,"検出","不検出"))</f>
        <v>不検出</v>
      </c>
      <c r="E17" s="66" t="str">
        <f>IF(OR(cnt_簗平!$C$5=0,cnt_簗平!$C$5=""),"",IF(演算タグ!F17=2,"検出","不検出"))</f>
        <v>不検出</v>
      </c>
      <c r="F17" s="66" t="str">
        <f>IF(OR(cnt_小原北部浄水!$C$5=0,cnt_小原北部浄水!$C$5=""),"",IF(演算タグ!H17=2,"検出","不検出"))</f>
        <v>不検出</v>
      </c>
      <c r="G17" s="66" t="str">
        <f>IF(OR(cnt_大ケ蔵連!$C$5=0,cnt_大ケ蔵連!$C$5=""),"",IF(演算タグ!J17=2,"検出","不検出"))</f>
        <v>不検出</v>
      </c>
      <c r="H17" s="66" t="str">
        <f>IF(OR(cnt_小原西部浄水!$C$5=0,cnt_小原西部浄水!$C$5=""),"",IF(演算タグ!L17=2,"検出","不検出"))</f>
        <v>不検出</v>
      </c>
      <c r="I17" s="112" t="str">
        <f>IF(OR(cnt_喜佐平!$C$5=0,cnt_喜佐平!$C$5=""),"",IF(演算タグ!N17=2,"検出","不検出"))</f>
        <v>不検出</v>
      </c>
      <c r="J17" s="66"/>
      <c r="K17" s="66"/>
      <c r="L17" s="66"/>
      <c r="M17" s="66"/>
      <c r="N17" s="66"/>
      <c r="O17" s="152"/>
      <c r="P17" s="64"/>
      <c r="Q17" s="66"/>
      <c r="R17" s="64" t="str">
        <f>IFERROR(VLOOKUP(R$9,#REF!,10,FALSE),"")</f>
        <v/>
      </c>
      <c r="S17" s="66" t="str">
        <f>IFERROR(VLOOKUP(S$9,#REF!,10,FALSE),"")</f>
        <v/>
      </c>
      <c r="T17" s="66" t="str">
        <f>IFERROR(VLOOKUP(T$9,#REF!,10,FALSE),"")</f>
        <v/>
      </c>
      <c r="U17" s="66" t="str">
        <f>IFERROR(VLOOKUP(U$9,#REF!,10,FALSE),"")</f>
        <v/>
      </c>
      <c r="V17" s="66" t="str">
        <f>IFERROR(VLOOKUP(V$9,#REF!,10,FALSE),"")</f>
        <v/>
      </c>
      <c r="W17" s="66" t="str">
        <f>IFERROR(VLOOKUP(W$9,#REF!,10,FALSE),"")</f>
        <v/>
      </c>
      <c r="X17" s="66" t="str">
        <f>IFERROR(VLOOKUP(X$9,#REF!,10,FALSE),"")</f>
        <v/>
      </c>
      <c r="Y17" s="66" t="str">
        <f>IFERROR(VLOOKUP(Y$9,#REF!,10,FALSE),"")</f>
        <v/>
      </c>
      <c r="Z17" s="66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IFERROR(VLOOKUP(ACN$9,#REF!,10,FALSE),"")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tr">
        <f>IF(cnt_小原東部浄水!$D$5=0,"",IF(演算タグ!E18&lt;0.0003,"0.0003未満",演算タグ!E18))</f>
        <v/>
      </c>
      <c r="E18" s="90" t="str">
        <f>IF(cnt_簗平!$D$5=0,"",IF(演算タグ!G18&lt;0.0003,"0.0003未満",演算タグ!G18))</f>
        <v/>
      </c>
      <c r="F18" s="90" t="str">
        <f>IF(cnt_小原北部浄水!$D$5=0,"",IF(演算タグ!I18&lt;0.0003,"0.0003未満",演算タグ!I18))</f>
        <v/>
      </c>
      <c r="G18" s="90" t="str">
        <f>IF(cnt_大ケ蔵連!$D$5=0,"",IF(演算タグ!K18&lt;0.0003,"0.0003未満",演算タグ!K18))</f>
        <v/>
      </c>
      <c r="H18" s="90" t="str">
        <f>IF(cnt_小原西部浄水!$D$5=0,"",IF(演算タグ!M18&lt;0.0003,"0.0003未満",演算タグ!M18))</f>
        <v/>
      </c>
      <c r="I18" s="196" t="str">
        <f>IF(cnt_喜佐平!$D$5=0,"",IF(演算タグ!O18&lt;0.0003,"0.0003未満",演算タグ!O18))</f>
        <v/>
      </c>
      <c r="J18" s="90"/>
      <c r="K18" s="90"/>
      <c r="L18" s="90"/>
      <c r="M18" s="90"/>
      <c r="N18" s="90"/>
      <c r="O18" s="160"/>
      <c r="P18" s="89"/>
      <c r="Q18" s="90"/>
      <c r="R18" s="64" t="str">
        <f>IFERROR(VLOOKUP(R$9,#REF!,12,FALSE),"")</f>
        <v/>
      </c>
      <c r="S18" s="66" t="str">
        <f>IFERROR(VLOOKUP(S$9,#REF!,12,FALSE),"")</f>
        <v/>
      </c>
      <c r="T18" s="66" t="str">
        <f>IFERROR(VLOOKUP(T$9,#REF!,12,FALSE),"")</f>
        <v/>
      </c>
      <c r="U18" s="66" t="str">
        <f>IFERROR(VLOOKUP(U$9,#REF!,12,FALSE),"")</f>
        <v/>
      </c>
      <c r="V18" s="66" t="str">
        <f>IFERROR(VLOOKUP(V$9,#REF!,12,FALSE),"")</f>
        <v/>
      </c>
      <c r="W18" s="66" t="str">
        <f>IFERROR(VLOOKUP(W$9,#REF!,12,FALSE),"")</f>
        <v/>
      </c>
      <c r="X18" s="66" t="str">
        <f>IFERROR(VLOOKUP(X$9,#REF!,12,FALSE),"")</f>
        <v/>
      </c>
      <c r="Y18" s="66" t="str">
        <f>IFERROR(VLOOKUP(Y$9,#REF!,12,FALSE),"")</f>
        <v/>
      </c>
      <c r="Z18" s="66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IFERROR(VLOOKUP(ACN$9,#REF!,12,FALSE),"")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9" t="e">
        <f>#REF!</f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tr">
        <f>IF(cnt_小原東部浄水!$R$5=0,"",IF(演算タグ!E19&lt;0.00005,"0.00005未満",演算タグ!E19))</f>
        <v/>
      </c>
      <c r="E19" s="92" t="str">
        <f>IF(cnt_簗平!$R$5=0,"",IF(演算タグ!G19&lt;0.00005,"0.00005未満",演算タグ!G19))</f>
        <v/>
      </c>
      <c r="F19" s="92" t="str">
        <f>IF(cnt_小原北部浄水!$R$5=0,"",IF(演算タグ!I19&lt;0.00005,"0.00005未満",演算タグ!I19))</f>
        <v/>
      </c>
      <c r="G19" s="92" t="str">
        <f>IF(cnt_大ケ蔵連!$R$5=0,"",IF(演算タグ!K19&lt;0.00005,"0.00005未満",演算タグ!K19))</f>
        <v/>
      </c>
      <c r="H19" s="92" t="str">
        <f>IF(cnt_小原西部浄水!$R$5=0,"",IF(演算タグ!M19&lt;0.00005,"0.00005未満",演算タグ!M19))</f>
        <v/>
      </c>
      <c r="I19" s="197" t="str">
        <f>IF(cnt_喜佐平!$R$5=0,"",IF(演算タグ!O19&lt;0.00005,"0.00005未満",演算タグ!O19))</f>
        <v/>
      </c>
      <c r="J19" s="92"/>
      <c r="K19" s="92"/>
      <c r="L19" s="92"/>
      <c r="M19" s="92"/>
      <c r="N19" s="92"/>
      <c r="O19" s="161"/>
      <c r="P19" s="91"/>
      <c r="Q19" s="92"/>
      <c r="R19" s="64" t="str">
        <f>IFERROR(VLOOKUP(R$9,#REF!,25,FALSE),"")</f>
        <v/>
      </c>
      <c r="S19" s="66" t="str">
        <f>IFERROR(VLOOKUP(S$9,#REF!,25,FALSE),"")</f>
        <v/>
      </c>
      <c r="T19" s="66" t="str">
        <f>IFERROR(VLOOKUP(T$9,#REF!,25,FALSE),"")</f>
        <v/>
      </c>
      <c r="U19" s="66" t="str">
        <f>IFERROR(VLOOKUP(U$9,#REF!,25,FALSE),"")</f>
        <v/>
      </c>
      <c r="V19" s="66" t="str">
        <f>IFERROR(VLOOKUP(V$9,#REF!,25,FALSE),"")</f>
        <v/>
      </c>
      <c r="W19" s="66" t="str">
        <f>IFERROR(VLOOKUP(W$9,#REF!,25,FALSE),"")</f>
        <v/>
      </c>
      <c r="X19" s="66" t="str">
        <f>IFERROR(VLOOKUP(X$9,#REF!,25,FALSE),"")</f>
        <v/>
      </c>
      <c r="Y19" s="66" t="str">
        <f>IFERROR(VLOOKUP(Y$9,#REF!,25,FALSE),"")</f>
        <v/>
      </c>
      <c r="Z19" s="66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IFERROR(VLOOKUP(ACN$9,#REF!,25,FALSE),"")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9" t="e">
        <f>#REF!</f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tr">
        <f>IF(cnt_小原東部浄水!$E$5=0,"",IF(演算タグ!E20&lt;0.001,"0.001未満",演算タグ!E20))</f>
        <v/>
      </c>
      <c r="E20" s="94" t="str">
        <f>IF(cnt_簗平!$E$5=0,"",IF(演算タグ!G20&lt;0.001,"0.001未満",演算タグ!G20))</f>
        <v/>
      </c>
      <c r="F20" s="94" t="str">
        <f>IF(cnt_小原北部浄水!$E$5=0,"",IF(演算タグ!I20&lt;0.001,"0.001未満",演算タグ!I20))</f>
        <v/>
      </c>
      <c r="G20" s="94" t="str">
        <f>IF(cnt_大ケ蔵連!$E$5=0,"",IF(演算タグ!K20&lt;0.001,"0.001未満",演算タグ!K20))</f>
        <v/>
      </c>
      <c r="H20" s="94" t="str">
        <f>IF(cnt_小原西部浄水!$E$5=0,"",IF(演算タグ!M20&lt;0.001,"0.001未満",演算タグ!M20))</f>
        <v/>
      </c>
      <c r="I20" s="198" t="str">
        <f>IF(cnt_喜佐平!$E$5=0,"",IF(演算タグ!O20&lt;0.001,"0.001未満",演算タグ!O20))</f>
        <v/>
      </c>
      <c r="J20" s="94"/>
      <c r="K20" s="94"/>
      <c r="L20" s="94"/>
      <c r="M20" s="94"/>
      <c r="N20" s="94"/>
      <c r="O20" s="162"/>
      <c r="P20" s="93"/>
      <c r="Q20" s="94"/>
      <c r="R20" s="64" t="str">
        <f>IFERROR(VLOOKUP(R$9,#REF!,13,FALSE),"")</f>
        <v/>
      </c>
      <c r="S20" s="66" t="str">
        <f>IFERROR(VLOOKUP(S$9,#REF!,13,FALSE),"")</f>
        <v/>
      </c>
      <c r="T20" s="66" t="str">
        <f>IFERROR(VLOOKUP(T$9,#REF!,13,FALSE),"")</f>
        <v/>
      </c>
      <c r="U20" s="66" t="str">
        <f>IFERROR(VLOOKUP(U$9,#REF!,13,FALSE),"")</f>
        <v/>
      </c>
      <c r="V20" s="66" t="str">
        <f>IFERROR(VLOOKUP(V$9,#REF!,13,FALSE),"")</f>
        <v/>
      </c>
      <c r="W20" s="66" t="str">
        <f>IFERROR(VLOOKUP(W$9,#REF!,13,FALSE),"")</f>
        <v/>
      </c>
      <c r="X20" s="66" t="str">
        <f>IFERROR(VLOOKUP(X$9,#REF!,13,FALSE),"")</f>
        <v/>
      </c>
      <c r="Y20" s="66" t="str">
        <f>IFERROR(VLOOKUP(Y$9,#REF!,13,FALSE),"")</f>
        <v/>
      </c>
      <c r="Z20" s="66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IFERROR(VLOOKUP(ACN$9,#REF!,13,FALSE),"")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9" t="e">
        <f>#REF!</f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tr">
        <f>IF(cnt_小原東部浄水!$F$5=0,"",IF(演算タグ!E21&lt;0.001,"0.001未満",演算タグ!E21))</f>
        <v/>
      </c>
      <c r="E21" s="94" t="str">
        <f>IF(cnt_簗平!$F$5=0,"",IF(演算タグ!G21&lt;0.001,"0.001未満",演算タグ!G21))</f>
        <v/>
      </c>
      <c r="F21" s="94" t="str">
        <f>IF(cnt_小原北部浄水!$F$5=0,"",IF(演算タグ!I21&lt;0.001,"0.001未満",演算タグ!I21))</f>
        <v/>
      </c>
      <c r="G21" s="94" t="str">
        <f>IF(cnt_大ケ蔵連!$F$5=0,"",IF(演算タグ!K21&lt;0.001,"0.001未満",演算タグ!K21))</f>
        <v/>
      </c>
      <c r="H21" s="94" t="str">
        <f>IF(cnt_小原西部浄水!$F$5=0,"",IF(演算タグ!M21&lt;0.001,"0.001未満",演算タグ!M21))</f>
        <v/>
      </c>
      <c r="I21" s="198" t="str">
        <f>IF(cnt_喜佐平!$F$5=0,"",IF(演算タグ!O21&lt;0.001,"0.001未満",演算タグ!O21))</f>
        <v/>
      </c>
      <c r="J21" s="94"/>
      <c r="K21" s="94"/>
      <c r="L21" s="94"/>
      <c r="M21" s="94"/>
      <c r="N21" s="94"/>
      <c r="O21" s="162"/>
      <c r="P21" s="93"/>
      <c r="Q21" s="94"/>
      <c r="R21" s="64" t="str">
        <f>IFERROR(VLOOKUP(R$9,#REF!,14,FALSE),"")</f>
        <v/>
      </c>
      <c r="S21" s="66" t="str">
        <f>IFERROR(VLOOKUP(S$9,#REF!,14,FALSE),"")</f>
        <v/>
      </c>
      <c r="T21" s="66" t="str">
        <f>IFERROR(VLOOKUP(T$9,#REF!,14,FALSE),"")</f>
        <v/>
      </c>
      <c r="U21" s="66" t="str">
        <f>IFERROR(VLOOKUP(U$9,#REF!,14,FALSE),"")</f>
        <v/>
      </c>
      <c r="V21" s="66" t="str">
        <f>IFERROR(VLOOKUP(V$9,#REF!,14,FALSE),"")</f>
        <v/>
      </c>
      <c r="W21" s="66" t="str">
        <f>IFERROR(VLOOKUP(W$9,#REF!,14,FALSE),"")</f>
        <v/>
      </c>
      <c r="X21" s="66" t="str">
        <f>IFERROR(VLOOKUP(X$9,#REF!,14,FALSE),"")</f>
        <v/>
      </c>
      <c r="Y21" s="66" t="str">
        <f>IFERROR(VLOOKUP(Y$9,#REF!,14,FALSE),"")</f>
        <v/>
      </c>
      <c r="Z21" s="66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IFERROR(VLOOKUP(ACN$9,#REF!,14,FALSE),"")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9" t="e">
        <f>#REF!</f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tr">
        <f>IF(cnt_小原東部浄水!$G$5=0,"",IF(演算タグ!E22&lt;0.001,"0.001未満",演算タグ!E22))</f>
        <v/>
      </c>
      <c r="E22" s="94" t="str">
        <f>IF(cnt_簗平!$G$5=0,"",IF(演算タグ!G22&lt;0.001,"0.001未満",演算タグ!G22))</f>
        <v/>
      </c>
      <c r="F22" s="94" t="str">
        <f>IF(cnt_小原北部浄水!$G$5=0,"",IF(演算タグ!I22&lt;0.001,"0.001未満",演算タグ!I22))</f>
        <v/>
      </c>
      <c r="G22" s="94" t="str">
        <f>IF(cnt_大ケ蔵連!$G$5=0,"",IF(演算タグ!K22&lt;0.001,"0.001未満",演算タグ!K22))</f>
        <v/>
      </c>
      <c r="H22" s="94" t="str">
        <f>IF(cnt_小原西部浄水!$G$5=0,"",IF(演算タグ!M22&lt;0.001,"0.001未満",演算タグ!M22))</f>
        <v/>
      </c>
      <c r="I22" s="198" t="str">
        <f>IF(cnt_喜佐平!$G$5=0,"",IF(演算タグ!O22&lt;0.001,"0.001未満",演算タグ!O22))</f>
        <v/>
      </c>
      <c r="J22" s="94"/>
      <c r="K22" s="94"/>
      <c r="L22" s="94"/>
      <c r="M22" s="94"/>
      <c r="N22" s="94"/>
      <c r="O22" s="162"/>
      <c r="P22" s="93"/>
      <c r="Q22" s="94"/>
      <c r="R22" s="64" t="str">
        <f>IFERROR(VLOOKUP(R$9,#REF!,15,FALSE),"")</f>
        <v/>
      </c>
      <c r="S22" s="66" t="str">
        <f>IFERROR(VLOOKUP(S$9,#REF!,15,FALSE),"")</f>
        <v/>
      </c>
      <c r="T22" s="66" t="str">
        <f>IFERROR(VLOOKUP(T$9,#REF!,15,FALSE),"")</f>
        <v/>
      </c>
      <c r="U22" s="66" t="str">
        <f>IFERROR(VLOOKUP(U$9,#REF!,15,FALSE),"")</f>
        <v/>
      </c>
      <c r="V22" s="66" t="str">
        <f>IFERROR(VLOOKUP(V$9,#REF!,15,FALSE),"")</f>
        <v/>
      </c>
      <c r="W22" s="66" t="str">
        <f>IFERROR(VLOOKUP(W$9,#REF!,15,FALSE),"")</f>
        <v/>
      </c>
      <c r="X22" s="66" t="str">
        <f>IFERROR(VLOOKUP(X$9,#REF!,15,FALSE),"")</f>
        <v/>
      </c>
      <c r="Y22" s="66" t="str">
        <f>IFERROR(VLOOKUP(Y$9,#REF!,15,FALSE),"")</f>
        <v/>
      </c>
      <c r="Z22" s="66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IFERROR(VLOOKUP(ACN$9,#REF!,15,FALSE),"")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9" t="e">
        <f>#REF!</f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tr">
        <f>IF(cnt_小原東部浄水!$H$5=0,"",IF(演算タグ!E23&lt;0.005,"0.005未満",演算タグ!E23))</f>
        <v/>
      </c>
      <c r="E23" s="94" t="str">
        <f>IF(cnt_簗平!$H$5=0,"",IF(演算タグ!G23&lt;0.005,"0.005未満",演算タグ!G23))</f>
        <v/>
      </c>
      <c r="F23" s="94" t="str">
        <f>IF(cnt_小原北部浄水!$H$5=0,"",IF(演算タグ!I23&lt;0.005,"0.005未満",演算タグ!I23))</f>
        <v/>
      </c>
      <c r="G23" s="94" t="str">
        <f>IF(cnt_大ケ蔵連!$H$5=0,"",IF(演算タグ!K23&lt;0.005,"0.005未満",演算タグ!K23))</f>
        <v/>
      </c>
      <c r="H23" s="94" t="str">
        <f>IF(cnt_小原西部浄水!$H$5=0,"",IF(演算タグ!M23&lt;0.005,"0.005未満",演算タグ!M23))</f>
        <v/>
      </c>
      <c r="I23" s="198" t="str">
        <f>IF(cnt_喜佐平!$H$5=0,"",IF(演算タグ!O23&lt;0.005,"0.005未満",演算タグ!O23))</f>
        <v/>
      </c>
      <c r="J23" s="94"/>
      <c r="K23" s="94"/>
      <c r="L23" s="94"/>
      <c r="M23" s="94"/>
      <c r="N23" s="94"/>
      <c r="O23" s="162"/>
      <c r="P23" s="93"/>
      <c r="Q23" s="94"/>
      <c r="R23" s="64" t="str">
        <f>IFERROR(VLOOKUP(R$9,#REF!,16,FALSE),"")</f>
        <v/>
      </c>
      <c r="S23" s="66" t="str">
        <f>IFERROR(VLOOKUP(S$9,#REF!,16,FALSE),"")</f>
        <v/>
      </c>
      <c r="T23" s="66" t="str">
        <f>IFERROR(VLOOKUP(T$9,#REF!,16,FALSE),"")</f>
        <v/>
      </c>
      <c r="U23" s="66" t="str">
        <f>IFERROR(VLOOKUP(U$9,#REF!,16,FALSE),"")</f>
        <v/>
      </c>
      <c r="V23" s="66" t="str">
        <f>IFERROR(VLOOKUP(V$9,#REF!,16,FALSE),"")</f>
        <v/>
      </c>
      <c r="W23" s="66" t="str">
        <f>IFERROR(VLOOKUP(W$9,#REF!,16,FALSE),"")</f>
        <v/>
      </c>
      <c r="X23" s="66" t="str">
        <f>IFERROR(VLOOKUP(X$9,#REF!,16,FALSE),"")</f>
        <v/>
      </c>
      <c r="Y23" s="66" t="str">
        <f>IFERROR(VLOOKUP(Y$9,#REF!,16,FALSE),"")</f>
        <v/>
      </c>
      <c r="Z23" s="66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IFERROR(VLOOKUP(ACN$9,#REF!,16,FALSE),"")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9" t="e">
        <f>#REF!</f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tr">
        <f>IF(cnt_小原東部浄水!$W$5=0,"",IF(演算タグ!D24&lt;0.004,"0.004未満",演算タグ!D24))</f>
        <v>0.004未満</v>
      </c>
      <c r="E24" s="94" t="str">
        <f>IF(cnt_簗平!$W$5=0,"",IF(演算タグ!F24&lt;0.004,"0.004未満",演算タグ!F24))</f>
        <v>0.004未満</v>
      </c>
      <c r="F24" s="94" t="str">
        <f>IF(cnt_小原北部浄水!$W$5=0,"",IF(演算タグ!H24&lt;0.004,"0.004未満",演算タグ!H24))</f>
        <v>0.004未満</v>
      </c>
      <c r="G24" s="94" t="str">
        <f>IF(cnt_大ケ蔵連!$W$5=0,"",IF(演算タグ!J24&lt;0.004,"0.004未満",演算タグ!J24))</f>
        <v>0.004未満</v>
      </c>
      <c r="H24" s="94" t="str">
        <f>IF(cnt_小原西部浄水!$W$5=0,"",IF(演算タグ!L24&lt;0.004,"0.004未満",演算タグ!L24))</f>
        <v>0.004未満</v>
      </c>
      <c r="I24" s="198" t="str">
        <f>IF(cnt_喜佐平!$W$5=0,"",IF(演算タグ!N24&lt;0.004,"0.004未満",演算タグ!N24))</f>
        <v>0.004未満</v>
      </c>
      <c r="J24" s="94"/>
      <c r="K24" s="94"/>
      <c r="L24" s="94"/>
      <c r="M24" s="94"/>
      <c r="N24" s="94"/>
      <c r="O24" s="162"/>
      <c r="P24" s="93"/>
      <c r="Q24" s="94"/>
      <c r="R24" s="64" t="str">
        <f>IFERROR(VLOOKUP(R$9,#REF!,34,FALSE),"")</f>
        <v/>
      </c>
      <c r="S24" s="66" t="str">
        <f>IFERROR(VLOOKUP(S$9,#REF!,34,FALSE),"")</f>
        <v/>
      </c>
      <c r="T24" s="66" t="str">
        <f>IFERROR(VLOOKUP(T$9,#REF!,34,FALSE),"")</f>
        <v/>
      </c>
      <c r="U24" s="66" t="str">
        <f>IFERROR(VLOOKUP(U$9,#REF!,34,FALSE),"")</f>
        <v/>
      </c>
      <c r="V24" s="66" t="str">
        <f>IFERROR(VLOOKUP(V$9,#REF!,34,FALSE),"")</f>
        <v/>
      </c>
      <c r="W24" s="66" t="str">
        <f>IFERROR(VLOOKUP(W$9,#REF!,34,FALSE),"")</f>
        <v/>
      </c>
      <c r="X24" s="66" t="str">
        <f>IFERROR(VLOOKUP(X$9,#REF!,34,FALSE),"")</f>
        <v/>
      </c>
      <c r="Y24" s="66" t="str">
        <f>IFERROR(VLOOKUP(Y$9,#REF!,34,FALSE),"")</f>
        <v/>
      </c>
      <c r="Z24" s="66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IFERROR(VLOOKUP(ACN$9,#REF!,34,FALSE),"")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9" t="e">
        <f>#REF!</f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tr">
        <f>IF(cnt_小原東部浄水!$S$5=0,"",IF(演算タグ!E25&lt;0.001,"0.001未満",演算タグ!E25))</f>
        <v/>
      </c>
      <c r="E25" s="94" t="str">
        <f>IF(cnt_簗平!$S$5=0,"",IF(演算タグ!G25&lt;0.001,"0.001未満",演算タグ!G25))</f>
        <v/>
      </c>
      <c r="F25" s="94" t="str">
        <f>IF(cnt_小原北部浄水!$S$5=0,"",IF(演算タグ!I25&lt;0.001,"0.001未満",演算タグ!I25))</f>
        <v/>
      </c>
      <c r="G25" s="94" t="str">
        <f>IF(cnt_大ケ蔵連!$S$5=0,"",IF(演算タグ!K25&lt;0.001,"0.001未満",演算タグ!K25))</f>
        <v/>
      </c>
      <c r="H25" s="94" t="str">
        <f>IF(cnt_小原西部浄水!$S$5=0,"",IF(演算タグ!M25&lt;0.001,"0.001未満",演算タグ!M25))</f>
        <v/>
      </c>
      <c r="I25" s="198" t="str">
        <f>IF(cnt_喜佐平!$S$5=0,"",IF(演算タグ!O25&lt;0.001,"0.001未満",演算タグ!O25))</f>
        <v/>
      </c>
      <c r="J25" s="94"/>
      <c r="K25" s="94"/>
      <c r="L25" s="94"/>
      <c r="M25" s="94"/>
      <c r="N25" s="94"/>
      <c r="O25" s="162"/>
      <c r="P25" s="93"/>
      <c r="Q25" s="94"/>
      <c r="R25" s="64" t="str">
        <f>IFERROR(VLOOKUP(R$9,#REF!,29,FALSE),"")</f>
        <v/>
      </c>
      <c r="S25" s="66" t="str">
        <f>IFERROR(VLOOKUP(S$9,#REF!,29,FALSE),"")</f>
        <v/>
      </c>
      <c r="T25" s="66" t="str">
        <f>IFERROR(VLOOKUP(T$9,#REF!,29,FALSE),"")</f>
        <v/>
      </c>
      <c r="U25" s="66" t="str">
        <f>IFERROR(VLOOKUP(U$9,#REF!,29,FALSE),"")</f>
        <v/>
      </c>
      <c r="V25" s="66" t="str">
        <f>IFERROR(VLOOKUP(V$9,#REF!,29,FALSE),"")</f>
        <v/>
      </c>
      <c r="W25" s="66" t="str">
        <f>IFERROR(VLOOKUP(W$9,#REF!,29,FALSE),"")</f>
        <v/>
      </c>
      <c r="X25" s="66" t="str">
        <f>IFERROR(VLOOKUP(X$9,#REF!,29,FALSE),"")</f>
        <v/>
      </c>
      <c r="Y25" s="66" t="str">
        <f>IFERROR(VLOOKUP(Y$9,#REF!,29,FALSE),"")</f>
        <v/>
      </c>
      <c r="Z25" s="66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IFERROR(VLOOKUP(ACN$9,#REF!,29,FALSE),"")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9" t="e">
        <f>#REF!</f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>
        <f>IF(cnt_小原東部浄水!$X$5=0,"",IF(演算タグ!D26&lt;0.02,"0.02未満",演算タグ!D26))</f>
        <v>0.19</v>
      </c>
      <c r="E26" s="96">
        <f>IF(cnt_簗平!$X$5=0,"",IF(演算タグ!F26&lt;0.02,"0.02未満",演算タグ!F26))</f>
        <v>0.19</v>
      </c>
      <c r="F26" s="96">
        <f>IF(cnt_小原北部浄水!$X$5=0,"",IF(演算タグ!H26&lt;0.02,"0.02未満",演算タグ!H26))</f>
        <v>0.09</v>
      </c>
      <c r="G26" s="96">
        <f>IF(cnt_大ケ蔵連!$X$5=0,"",IF(演算タグ!J26&lt;0.02,"0.02未満",演算タグ!J26))</f>
        <v>0.09</v>
      </c>
      <c r="H26" s="96">
        <f>IF(cnt_小原西部浄水!$X$5=0,"",IF(演算タグ!L26&lt;0.02,"0.02未満",演算タグ!L26))</f>
        <v>7.0000000000000007E-2</v>
      </c>
      <c r="I26" s="199">
        <f>IF(cnt_喜佐平!$X$5=0,"",IF(演算タグ!N26&lt;0.02,"0.02未満",演算タグ!N26))</f>
        <v>7.0000000000000007E-2</v>
      </c>
      <c r="J26" s="96"/>
      <c r="K26" s="96"/>
      <c r="L26" s="96"/>
      <c r="M26" s="96"/>
      <c r="N26" s="96"/>
      <c r="O26" s="163"/>
      <c r="P26" s="95"/>
      <c r="Q26" s="96"/>
      <c r="R26" s="64" t="str">
        <f>IFERROR(VLOOKUP(R$9,#REF!,36,FALSE),"")</f>
        <v/>
      </c>
      <c r="S26" s="66" t="str">
        <f>IFERROR(VLOOKUP(S$9,#REF!,36,FALSE),"")</f>
        <v/>
      </c>
      <c r="T26" s="66" t="str">
        <f>IFERROR(VLOOKUP(T$9,#REF!,36,FALSE),"")</f>
        <v/>
      </c>
      <c r="U26" s="66" t="str">
        <f>IFERROR(VLOOKUP(U$9,#REF!,36,FALSE),"")</f>
        <v/>
      </c>
      <c r="V26" s="66" t="str">
        <f>IFERROR(VLOOKUP(V$9,#REF!,36,FALSE),"")</f>
        <v/>
      </c>
      <c r="W26" s="66" t="str">
        <f>IFERROR(VLOOKUP(W$9,#REF!,36,FALSE),"")</f>
        <v/>
      </c>
      <c r="X26" s="66" t="str">
        <f>IFERROR(VLOOKUP(X$9,#REF!,36,FALSE),"")</f>
        <v/>
      </c>
      <c r="Y26" s="66" t="str">
        <f>IFERROR(VLOOKUP(Y$9,#REF!,36,FALSE),"")</f>
        <v/>
      </c>
      <c r="Z26" s="66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IFERROR(VLOOKUP(ACN$9,#REF!,36,FALSE),"")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97" t="e">
        <f>#REF!</f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>
        <f>IF(cnt_小原東部浄水!$T$5=0,"",IF(演算タグ!D27&lt;0.05,"0.05未満",演算タグ!D27))</f>
        <v>7.0000000000000007E-2</v>
      </c>
      <c r="E27" s="96">
        <f>IF(cnt_簗平!$T$5=0,"",IF(演算タグ!F27&lt;0.05,"0.05未満",演算タグ!F27))</f>
        <v>0.08</v>
      </c>
      <c r="F27" s="96">
        <f>IF(cnt_小原北部浄水!$T$5=0,"",IF(演算タグ!H27&lt;0.05,"0.05未満",演算タグ!H27))</f>
        <v>0.05</v>
      </c>
      <c r="G27" s="96">
        <f>IF(cnt_大ケ蔵連!$T$5=0,"",IF(演算タグ!J27&lt;0.05,"0.05未満",演算タグ!J27))</f>
        <v>0.05</v>
      </c>
      <c r="H27" s="96">
        <f>IF(cnt_小原西部浄水!$T$5=0,"",IF(演算タグ!L27&lt;0.05,"0.05未満",演算タグ!L27))</f>
        <v>0.06</v>
      </c>
      <c r="I27" s="199">
        <f>IF(cnt_喜佐平!$T$5=0,"",IF(演算タグ!N27&lt;0.05,"0.05未満",演算タグ!N27))</f>
        <v>0.06</v>
      </c>
      <c r="J27" s="96"/>
      <c r="K27" s="96"/>
      <c r="L27" s="96"/>
      <c r="M27" s="96"/>
      <c r="N27" s="96"/>
      <c r="O27" s="163"/>
      <c r="P27" s="95"/>
      <c r="Q27" s="96"/>
      <c r="R27" s="64" t="str">
        <f>IFERROR(VLOOKUP(R$9,#REF!,31,FALSE),"")</f>
        <v/>
      </c>
      <c r="S27" s="66" t="str">
        <f>IFERROR(VLOOKUP(S$9,#REF!,31,FALSE),"")</f>
        <v/>
      </c>
      <c r="T27" s="66" t="str">
        <f>IFERROR(VLOOKUP(T$9,#REF!,31,FALSE),"")</f>
        <v/>
      </c>
      <c r="U27" s="66" t="str">
        <f>IFERROR(VLOOKUP(U$9,#REF!,31,FALSE),"")</f>
        <v/>
      </c>
      <c r="V27" s="66" t="str">
        <f>IFERROR(VLOOKUP(V$9,#REF!,31,FALSE),"")</f>
        <v/>
      </c>
      <c r="W27" s="66" t="str">
        <f>IFERROR(VLOOKUP(W$9,#REF!,31,FALSE),"")</f>
        <v/>
      </c>
      <c r="X27" s="66" t="str">
        <f>IFERROR(VLOOKUP(X$9,#REF!,31,FALSE),"")</f>
        <v/>
      </c>
      <c r="Y27" s="66" t="str">
        <f>IFERROR(VLOOKUP(Y$9,#REF!,31,FALSE),"")</f>
        <v/>
      </c>
      <c r="Z27" s="66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IFERROR(VLOOKUP(ACN$9,#REF!,31,FALSE),"")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9" t="e">
        <f>#REF!</f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tr">
        <f>IF(cnt_小原東部浄水!$I$5=0,"",IF(演算タグ!E28&lt;0.01,"0.01未満",演算タグ!E28))</f>
        <v/>
      </c>
      <c r="E28" s="96" t="str">
        <f>IF(cnt_簗平!$I$5=0,"",IF(演算タグ!G28&lt;0.01,"0.01未満",演算タグ!G28))</f>
        <v/>
      </c>
      <c r="F28" s="96" t="str">
        <f>IF(cnt_小原北部浄水!$I$5=0,"",IF(演算タグ!I28&lt;0.01,"0.01未満",演算タグ!I28))</f>
        <v/>
      </c>
      <c r="G28" s="96" t="str">
        <f>IF(cnt_大ケ蔵連!$I$5=0,"",IF(演算タグ!K28&lt;0.01,"0.01未満",演算タグ!K28))</f>
        <v/>
      </c>
      <c r="H28" s="96" t="str">
        <f>IF(cnt_小原西部浄水!$I$5=0,"",IF(演算タグ!M28&lt;0.01,"0.01未満",演算タグ!M28))</f>
        <v/>
      </c>
      <c r="I28" s="199" t="str">
        <f>IF(cnt_喜佐平!$I$5=0,"",IF(演算タグ!O28&lt;0.01,"0.01未満",演算タグ!O28))</f>
        <v/>
      </c>
      <c r="J28" s="96"/>
      <c r="K28" s="96"/>
      <c r="L28" s="96"/>
      <c r="M28" s="96"/>
      <c r="N28" s="96"/>
      <c r="O28" s="163"/>
      <c r="P28" s="95"/>
      <c r="Q28" s="96"/>
      <c r="R28" s="64" t="str">
        <f>IFERROR(VLOOKUP(R$9,#REF!,17,FALSE),"")</f>
        <v/>
      </c>
      <c r="S28" s="66" t="str">
        <f>IFERROR(VLOOKUP(S$9,#REF!,17,FALSE),"")</f>
        <v/>
      </c>
      <c r="T28" s="66" t="str">
        <f>IFERROR(VLOOKUP(T$9,#REF!,17,FALSE),"")</f>
        <v/>
      </c>
      <c r="U28" s="66" t="str">
        <f>IFERROR(VLOOKUP(U$9,#REF!,17,FALSE),"")</f>
        <v/>
      </c>
      <c r="V28" s="66" t="str">
        <f>IFERROR(VLOOKUP(V$9,#REF!,17,FALSE),"")</f>
        <v/>
      </c>
      <c r="W28" s="66" t="str">
        <f>IFERROR(VLOOKUP(W$9,#REF!,17,FALSE),"")</f>
        <v/>
      </c>
      <c r="X28" s="66" t="str">
        <f>IFERROR(VLOOKUP(X$9,#REF!,17,FALSE),"")</f>
        <v/>
      </c>
      <c r="Y28" s="66" t="str">
        <f>IFERROR(VLOOKUP(Y$9,#REF!,17,FALSE),"")</f>
        <v/>
      </c>
      <c r="Z28" s="66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IFERROR(VLOOKUP(ACN$9,#REF!,17,FALSE),"")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9" t="e">
        <f>#REF!</f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tr">
        <f>IF(cnt_小原東部浄水!$AA$5=0,"",IF(演算タグ!E29&lt;0.0002,"0.0002未満",演算タグ!E29))</f>
        <v>0.0002未満</v>
      </c>
      <c r="E29" s="90" t="str">
        <f>IF(cnt_簗平!$AA$5=0,"",IF(演算タグ!G29&lt;0.0002,"0.0002未満",演算タグ!G29))</f>
        <v>0.0002未満</v>
      </c>
      <c r="F29" s="90" t="str">
        <f>IF(cnt_小原北部浄水!$AA$5=0,"",IF(演算タグ!I29&lt;0.0002,"0.0002未満",演算タグ!I29))</f>
        <v>0.0002未満</v>
      </c>
      <c r="G29" s="90" t="str">
        <f>IF(cnt_大ケ蔵連!$AA$5=0,"",IF(演算タグ!K29&lt;0.0002,"0.0002未満",演算タグ!K29))</f>
        <v>0.0002未満</v>
      </c>
      <c r="H29" s="90" t="str">
        <f>IF(cnt_小原西部浄水!$AA$5=0,"",IF(演算タグ!M29&lt;0.0002,"0.0002未満",演算タグ!M29))</f>
        <v>0.0002未満</v>
      </c>
      <c r="I29" s="196" t="str">
        <f>IF(cnt_喜佐平!$AA$5=0,"",IF(演算タグ!O29&lt;0.0002,"0.0002未満",演算タグ!O29))</f>
        <v>0.0002未満</v>
      </c>
      <c r="J29" s="90"/>
      <c r="K29" s="90"/>
      <c r="L29" s="90"/>
      <c r="M29" s="90"/>
      <c r="N29" s="90"/>
      <c r="O29" s="160"/>
      <c r="P29" s="89"/>
      <c r="Q29" s="90"/>
      <c r="R29" s="64" t="str">
        <f>IFERROR(VLOOKUP(R$9,#REF!,42,FALSE),"")</f>
        <v/>
      </c>
      <c r="S29" s="66" t="str">
        <f>IFERROR(VLOOKUP(S$9,#REF!,42,FALSE),"")</f>
        <v/>
      </c>
      <c r="T29" s="66" t="str">
        <f>IFERROR(VLOOKUP(T$9,#REF!,42,FALSE),"")</f>
        <v/>
      </c>
      <c r="U29" s="66" t="str">
        <f>IFERROR(VLOOKUP(U$9,#REF!,42,FALSE),"")</f>
        <v/>
      </c>
      <c r="V29" s="66" t="str">
        <f>IFERROR(VLOOKUP(V$9,#REF!,42,FALSE),"")</f>
        <v/>
      </c>
      <c r="W29" s="66" t="str">
        <f>IFERROR(VLOOKUP(W$9,#REF!,42,FALSE),"")</f>
        <v/>
      </c>
      <c r="X29" s="66" t="str">
        <f>IFERROR(VLOOKUP(X$9,#REF!,42,FALSE),"")</f>
        <v/>
      </c>
      <c r="Y29" s="66" t="str">
        <f>IFERROR(VLOOKUP(Y$9,#REF!,42,FALSE),"")</f>
        <v/>
      </c>
      <c r="Z29" s="66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IFERROR(VLOOKUP(ACN$9,#REF!,42,FALSE),"")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9" t="e">
        <f>#REF!</f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tr">
        <f>IF(cnt_小原東部浄水!$AB$5=0,"",IF(演算タグ!E30&lt;0.001,"0.001未満",演算タグ!E30))</f>
        <v>0.001未満</v>
      </c>
      <c r="E30" s="94" t="str">
        <f>IF(cnt_簗平!$AB$5=0,"",IF(演算タグ!G30&lt;0.001,"0.001未満",演算タグ!G30))</f>
        <v>0.001未満</v>
      </c>
      <c r="F30" s="94" t="str">
        <f>IF(cnt_小原北部浄水!$AB$5=0,"",IF(演算タグ!I30&lt;0.001,"0.001未満",演算タグ!I30))</f>
        <v>0.001未満</v>
      </c>
      <c r="G30" s="94" t="str">
        <f>IF(cnt_大ケ蔵連!$AB$5=0,"",IF(演算タグ!K30&lt;0.001,"0.001未満",演算タグ!K30))</f>
        <v>0.001未満</v>
      </c>
      <c r="H30" s="94" t="str">
        <f>IF(cnt_小原西部浄水!$AB$5=0,"",IF(演算タグ!M30&lt;0.001,"0.001未満",演算タグ!M30))</f>
        <v>0.001未満</v>
      </c>
      <c r="I30" s="198" t="str">
        <f>IF(cnt_喜佐平!$AB$5=0,"",IF(演算タグ!O30&lt;0.001,"0.001未満",演算タグ!O30))</f>
        <v>0.001未満</v>
      </c>
      <c r="J30" s="94"/>
      <c r="K30" s="94"/>
      <c r="L30" s="94"/>
      <c r="M30" s="94"/>
      <c r="N30" s="94"/>
      <c r="O30" s="162"/>
      <c r="P30" s="93"/>
      <c r="Q30" s="94"/>
      <c r="R30" s="64" t="str">
        <f>IFERROR(VLOOKUP(R$9,#REF!,43,FALSE),"")</f>
        <v/>
      </c>
      <c r="S30" s="66" t="str">
        <f>IFERROR(VLOOKUP(S$9,#REF!,43,FALSE),"")</f>
        <v/>
      </c>
      <c r="T30" s="66" t="str">
        <f>IFERROR(VLOOKUP(T$9,#REF!,43,FALSE),"")</f>
        <v/>
      </c>
      <c r="U30" s="66" t="str">
        <f>IFERROR(VLOOKUP(U$9,#REF!,43,FALSE),"")</f>
        <v/>
      </c>
      <c r="V30" s="66" t="str">
        <f>IFERROR(VLOOKUP(V$9,#REF!,43,FALSE),"")</f>
        <v/>
      </c>
      <c r="W30" s="66" t="str">
        <f>IFERROR(VLOOKUP(W$9,#REF!,43,FALSE),"")</f>
        <v/>
      </c>
      <c r="X30" s="66" t="str">
        <f>IFERROR(VLOOKUP(X$9,#REF!,43,FALSE),"")</f>
        <v/>
      </c>
      <c r="Y30" s="66" t="str">
        <f>IFERROR(VLOOKUP(Y$9,#REF!,43,FALSE),"")</f>
        <v/>
      </c>
      <c r="Z30" s="66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IFERROR(VLOOKUP(ACN$9,#REF!,43,FALSE),"")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9" t="e">
        <f>#REF!</f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tr">
        <f>IF(cnt_小原東部浄水!$AC$5=0,"",IF(演算タグ!E31&lt;0.004,"0.004未満",演算タグ!E31))</f>
        <v>0.004未満</v>
      </c>
      <c r="E31" s="94" t="str">
        <f>IF(cnt_簗平!$AC$5=0,"",IF(演算タグ!G31&lt;0.004,"0.004未満",演算タグ!G31))</f>
        <v>0.004未満</v>
      </c>
      <c r="F31" s="94" t="str">
        <f>IF(cnt_小原北部浄水!$AC$5=0,"",IF(演算タグ!I31&lt;0.004,"0.004未満",演算タグ!I31))</f>
        <v>0.004未満</v>
      </c>
      <c r="G31" s="94" t="str">
        <f>IF(cnt_大ケ蔵連!$AC$5=0,"",IF(演算タグ!K31&lt;0.004,"0.004未満",演算タグ!K31))</f>
        <v>0.004未満</v>
      </c>
      <c r="H31" s="94" t="str">
        <f>IF(cnt_小原西部浄水!$AC$5=0,"",IF(演算タグ!M31&lt;0.004,"0.004未満",演算タグ!M31))</f>
        <v>0.004未満</v>
      </c>
      <c r="I31" s="198" t="str">
        <f>IF(cnt_喜佐平!$AC$5=0,"",IF(演算タグ!O31&lt;0.004,"0.004未満",演算タグ!O31))</f>
        <v>0.004未満</v>
      </c>
      <c r="J31" s="94"/>
      <c r="K31" s="94"/>
      <c r="L31" s="94"/>
      <c r="M31" s="94"/>
      <c r="N31" s="94"/>
      <c r="O31" s="162"/>
      <c r="P31" s="93"/>
      <c r="Q31" s="94"/>
      <c r="R31" s="64" t="str">
        <f>IFERROR(VLOOKUP(R$9,#REF!,46,FALSE),"")</f>
        <v/>
      </c>
      <c r="S31" s="66" t="str">
        <f>IFERROR(VLOOKUP(S$9,#REF!,46,FALSE),"")</f>
        <v/>
      </c>
      <c r="T31" s="66" t="str">
        <f>IFERROR(VLOOKUP(T$9,#REF!,46,FALSE),"")</f>
        <v/>
      </c>
      <c r="U31" s="66" t="str">
        <f>IFERROR(VLOOKUP(U$9,#REF!,46,FALSE),"")</f>
        <v/>
      </c>
      <c r="V31" s="66" t="str">
        <f>IFERROR(VLOOKUP(V$9,#REF!,46,FALSE),"")</f>
        <v/>
      </c>
      <c r="W31" s="66" t="str">
        <f>IFERROR(VLOOKUP(W$9,#REF!,46,FALSE),"")</f>
        <v/>
      </c>
      <c r="X31" s="66" t="str">
        <f>IFERROR(VLOOKUP(X$9,#REF!,46,FALSE),"")</f>
        <v/>
      </c>
      <c r="Y31" s="66" t="str">
        <f>IFERROR(VLOOKUP(Y$9,#REF!,46,FALSE),"")</f>
        <v/>
      </c>
      <c r="Z31" s="66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IFERROR(VLOOKUP(ACN$9,#REF!,46,FALSE),"")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9" t="e">
        <f>#REF!</f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tr">
        <f>IF(cnt_小原東部浄水!$AD$5=0,"",IF(演算タグ!E32&lt;0.001,"0.001未満",演算タグ!E32))</f>
        <v>0.001未満</v>
      </c>
      <c r="E32" s="94" t="str">
        <f>IF(cnt_簗平!$AD$5=0,"",IF(演算タグ!G32&lt;0.001,"0.001未満",演算タグ!G32))</f>
        <v>0.001未満</v>
      </c>
      <c r="F32" s="94" t="str">
        <f>IF(cnt_小原北部浄水!$AD$5=0,"",IF(演算タグ!I32&lt;0.001,"0.001未満",演算タグ!I32))</f>
        <v>0.001未満</v>
      </c>
      <c r="G32" s="94" t="str">
        <f>IF(cnt_大ケ蔵連!$AD$5=0,"",IF(演算タグ!K32&lt;0.001,"0.001未満",演算タグ!K32))</f>
        <v>0.001未満</v>
      </c>
      <c r="H32" s="94" t="str">
        <f>IF(cnt_小原西部浄水!$AD$5=0,"",IF(演算タグ!M32&lt;0.001,"0.001未満",演算タグ!M32))</f>
        <v>0.001未満</v>
      </c>
      <c r="I32" s="198" t="str">
        <f>IF(cnt_喜佐平!$AD$5=0,"",IF(演算タグ!O32&lt;0.001,"0.001未満",演算タグ!O32))</f>
        <v>0.001未満</v>
      </c>
      <c r="J32" s="94"/>
      <c r="K32" s="94"/>
      <c r="L32" s="94"/>
      <c r="M32" s="94"/>
      <c r="N32" s="94"/>
      <c r="O32" s="162"/>
      <c r="P32" s="93"/>
      <c r="Q32" s="94"/>
      <c r="R32" s="64" t="str">
        <f>IFERROR(VLOOKUP(R$9,#REF!,47,FALSE),"")</f>
        <v/>
      </c>
      <c r="S32" s="66" t="str">
        <f>IFERROR(VLOOKUP(S$9,#REF!,47,FALSE),"")</f>
        <v/>
      </c>
      <c r="T32" s="66" t="str">
        <f>IFERROR(VLOOKUP(T$9,#REF!,47,FALSE),"")</f>
        <v/>
      </c>
      <c r="U32" s="66" t="str">
        <f>IFERROR(VLOOKUP(U$9,#REF!,47,FALSE),"")</f>
        <v/>
      </c>
      <c r="V32" s="66" t="str">
        <f>IFERROR(VLOOKUP(V$9,#REF!,47,FALSE),"")</f>
        <v/>
      </c>
      <c r="W32" s="66" t="str">
        <f>IFERROR(VLOOKUP(W$9,#REF!,47,FALSE),"")</f>
        <v/>
      </c>
      <c r="X32" s="66" t="str">
        <f>IFERROR(VLOOKUP(X$9,#REF!,47,FALSE),"")</f>
        <v/>
      </c>
      <c r="Y32" s="66" t="str">
        <f>IFERROR(VLOOKUP(Y$9,#REF!,47,FALSE),"")</f>
        <v/>
      </c>
      <c r="Z32" s="66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IFERROR(VLOOKUP(ACN$9,#REF!,47,FALSE),"")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9" t="e">
        <f>#REF!</f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tr">
        <f>IF(cnt_小原東部浄水!$AE$5=0,"",IF(演算タグ!E33&lt;0.001,"0.001未満",演算タグ!E33))</f>
        <v>0.001未満</v>
      </c>
      <c r="E33" s="94" t="str">
        <f>IF(cnt_簗平!$AE$5=0,"",IF(演算タグ!G33&lt;0.001,"0.001未満",演算タグ!G33))</f>
        <v>0.001未満</v>
      </c>
      <c r="F33" s="94" t="str">
        <f>IF(cnt_小原北部浄水!$AE$5=0,"",IF(演算タグ!I33&lt;0.001,"0.001未満",演算タグ!I33))</f>
        <v>0.001未満</v>
      </c>
      <c r="G33" s="94" t="str">
        <f>IF(cnt_大ケ蔵連!$AE$5=0,"",IF(演算タグ!K33&lt;0.001,"0.001未満",演算タグ!K33))</f>
        <v>0.001未満</v>
      </c>
      <c r="H33" s="94" t="str">
        <f>IF(cnt_小原西部浄水!$AE$5=0,"",IF(演算タグ!M33&lt;0.001,"0.001未満",演算タグ!M33))</f>
        <v>0.001未満</v>
      </c>
      <c r="I33" s="198" t="str">
        <f>IF(cnt_喜佐平!$AE$5=0,"",IF(演算タグ!O33&lt;0.001,"0.001未満",演算タグ!O33))</f>
        <v>0.001未満</v>
      </c>
      <c r="J33" s="94"/>
      <c r="K33" s="94"/>
      <c r="L33" s="94"/>
      <c r="M33" s="94"/>
      <c r="N33" s="94"/>
      <c r="O33" s="162"/>
      <c r="P33" s="93"/>
      <c r="Q33" s="94"/>
      <c r="R33" s="64" t="str">
        <f>IFERROR(VLOOKUP(R$9,#REF!,48,FALSE),"")</f>
        <v/>
      </c>
      <c r="S33" s="66" t="str">
        <f>IFERROR(VLOOKUP(S$9,#REF!,48,FALSE),"")</f>
        <v/>
      </c>
      <c r="T33" s="66" t="str">
        <f>IFERROR(VLOOKUP(T$9,#REF!,48,FALSE),"")</f>
        <v/>
      </c>
      <c r="U33" s="66" t="str">
        <f>IFERROR(VLOOKUP(U$9,#REF!,48,FALSE),"")</f>
        <v/>
      </c>
      <c r="V33" s="66" t="str">
        <f>IFERROR(VLOOKUP(V$9,#REF!,48,FALSE),"")</f>
        <v/>
      </c>
      <c r="W33" s="66" t="str">
        <f>IFERROR(VLOOKUP(W$9,#REF!,48,FALSE),"")</f>
        <v/>
      </c>
      <c r="X33" s="66" t="str">
        <f>IFERROR(VLOOKUP(X$9,#REF!,48,FALSE),"")</f>
        <v/>
      </c>
      <c r="Y33" s="66" t="str">
        <f>IFERROR(VLOOKUP(Y$9,#REF!,48,FALSE),"")</f>
        <v/>
      </c>
      <c r="Z33" s="66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IFERROR(VLOOKUP(ACN$9,#REF!,48,FALSE),"")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9" t="e">
        <f>#REF!</f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tr">
        <f>IF(cnt_小原東部浄水!$AF$5=0,"",IF(演算タグ!E34&lt;0.001,"0.001未満",演算タグ!E34))</f>
        <v>0.001未満</v>
      </c>
      <c r="E34" s="94" t="str">
        <f>IF(cnt_簗平!$AF$5=0,"",IF(演算タグ!G34&lt;0.001,"0.001未満",演算タグ!G34))</f>
        <v>0.001未満</v>
      </c>
      <c r="F34" s="94" t="str">
        <f>IF(cnt_小原北部浄水!$AF$5=0,"",IF(演算タグ!I34&lt;0.001,"0.001未満",演算タグ!I34))</f>
        <v>0.001未満</v>
      </c>
      <c r="G34" s="94" t="str">
        <f>IF(cnt_大ケ蔵連!$AF$5=0,"",IF(演算タグ!K34&lt;0.001,"0.001未満",演算タグ!K34))</f>
        <v>0.001未満</v>
      </c>
      <c r="H34" s="94" t="str">
        <f>IF(cnt_小原西部浄水!$AF$5=0,"",IF(演算タグ!M34&lt;0.001,"0.001未満",演算タグ!M34))</f>
        <v>0.001未満</v>
      </c>
      <c r="I34" s="198" t="str">
        <f>IF(cnt_喜佐平!$AF$5=0,"",IF(演算タグ!O34&lt;0.001,"0.001未満",演算タグ!O34))</f>
        <v>0.001未満</v>
      </c>
      <c r="J34" s="94"/>
      <c r="K34" s="94"/>
      <c r="L34" s="94"/>
      <c r="M34" s="94"/>
      <c r="N34" s="94"/>
      <c r="O34" s="162"/>
      <c r="P34" s="93"/>
      <c r="Q34" s="94"/>
      <c r="R34" s="64" t="str">
        <f>IFERROR(VLOOKUP(R$9,#REF!,49,FALSE),"")</f>
        <v/>
      </c>
      <c r="S34" s="66" t="str">
        <f>IFERROR(VLOOKUP(S$9,#REF!,49,FALSE),"")</f>
        <v/>
      </c>
      <c r="T34" s="66" t="str">
        <f>IFERROR(VLOOKUP(T$9,#REF!,49,FALSE),"")</f>
        <v/>
      </c>
      <c r="U34" s="66" t="str">
        <f>IFERROR(VLOOKUP(U$9,#REF!,49,FALSE),"")</f>
        <v/>
      </c>
      <c r="V34" s="66" t="str">
        <f>IFERROR(VLOOKUP(V$9,#REF!,49,FALSE),"")</f>
        <v/>
      </c>
      <c r="W34" s="66" t="str">
        <f>IFERROR(VLOOKUP(W$9,#REF!,49,FALSE),"")</f>
        <v/>
      </c>
      <c r="X34" s="66" t="str">
        <f>IFERROR(VLOOKUP(X$9,#REF!,49,FALSE),"")</f>
        <v/>
      </c>
      <c r="Y34" s="66" t="str">
        <f>IFERROR(VLOOKUP(Y$9,#REF!,49,FALSE),"")</f>
        <v/>
      </c>
      <c r="Z34" s="66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IFERROR(VLOOKUP(ACN$9,#REF!,49,FALSE),"")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9" t="e">
        <f>#REF!</f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tr">
        <f>IF(cnt_小原東部浄水!$AG$5=0,"",IF(演算タグ!E35&lt;0.001,"0.001未満",演算タグ!E35))</f>
        <v>0.001未満</v>
      </c>
      <c r="E35" s="94" t="str">
        <f>IF(cnt_簗平!$AG$5=0,"",IF(演算タグ!G35&lt;0.001,"0.001未満",演算タグ!G35))</f>
        <v>0.001未満</v>
      </c>
      <c r="F35" s="94" t="str">
        <f>IF(cnt_小原北部浄水!$AG$5=0,"",IF(演算タグ!I35&lt;0.001,"0.001未満",演算タグ!I35))</f>
        <v>0.001未満</v>
      </c>
      <c r="G35" s="94" t="str">
        <f>IF(cnt_大ケ蔵連!$AG$5=0,"",IF(演算タグ!K35&lt;0.001,"0.001未満",演算タグ!K35))</f>
        <v>0.001未満</v>
      </c>
      <c r="H35" s="94" t="str">
        <f>IF(cnt_小原西部浄水!$AG$5=0,"",IF(演算タグ!M35&lt;0.001,"0.001未満",演算タグ!M35))</f>
        <v>0.001未満</v>
      </c>
      <c r="I35" s="198" t="str">
        <f>IF(cnt_喜佐平!$AG$5=0,"",IF(演算タグ!O35&lt;0.001,"0.001未満",演算タグ!O35))</f>
        <v>0.001未満</v>
      </c>
      <c r="J35" s="94"/>
      <c r="K35" s="94"/>
      <c r="L35" s="94"/>
      <c r="M35" s="94"/>
      <c r="N35" s="94"/>
      <c r="O35" s="162"/>
      <c r="P35" s="93"/>
      <c r="Q35" s="94"/>
      <c r="R35" s="64" t="str">
        <f>IFERROR(VLOOKUP(R$9,#REF!,50,FALSE),"")</f>
        <v/>
      </c>
      <c r="S35" s="66" t="str">
        <f>IFERROR(VLOOKUP(S$9,#REF!,50,FALSE),"")</f>
        <v/>
      </c>
      <c r="T35" s="66" t="str">
        <f>IFERROR(VLOOKUP(T$9,#REF!,50,FALSE),"")</f>
        <v/>
      </c>
      <c r="U35" s="66" t="str">
        <f>IFERROR(VLOOKUP(U$9,#REF!,50,FALSE),"")</f>
        <v/>
      </c>
      <c r="V35" s="66" t="str">
        <f>IFERROR(VLOOKUP(V$9,#REF!,50,FALSE),"")</f>
        <v/>
      </c>
      <c r="W35" s="66" t="str">
        <f>IFERROR(VLOOKUP(W$9,#REF!,50,FALSE),"")</f>
        <v/>
      </c>
      <c r="X35" s="66" t="str">
        <f>IFERROR(VLOOKUP(X$9,#REF!,50,FALSE),"")</f>
        <v/>
      </c>
      <c r="Y35" s="66" t="str">
        <f>IFERROR(VLOOKUP(Y$9,#REF!,50,FALSE),"")</f>
        <v/>
      </c>
      <c r="Z35" s="66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IFERROR(VLOOKUP(ACN$9,#REF!,50,FALSE),"")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9" t="e">
        <f>#REF!</f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 t="str">
        <f>IF(cnt_小原東部浄水!$V$5=0,"",IF(演算タグ!D36&lt;0.05,"0.05未満",演算タグ!D36))</f>
        <v>0.05未満</v>
      </c>
      <c r="E36" s="96" t="str">
        <f>IF(cnt_簗平!$V$5=0,"",IF(演算タグ!F36&lt;0.05,"0.05未満",演算タグ!F36))</f>
        <v>0.05未満</v>
      </c>
      <c r="F36" s="96" t="str">
        <f>IF(cnt_小原北部浄水!$V$5=0,"",IF(演算タグ!H36&lt;0.05,"0.05未満",演算タグ!H36))</f>
        <v>0.05未満</v>
      </c>
      <c r="G36" s="96" t="str">
        <f>IF(cnt_大ケ蔵連!$V$5=0,"",IF(演算タグ!J36&lt;0.05,"0.05未満",演算タグ!J36))</f>
        <v>0.05未満</v>
      </c>
      <c r="H36" s="96" t="str">
        <f>IF(cnt_小原西部浄水!$V$5=0,"",IF(演算タグ!L36&lt;0.05,"0.05未満",演算タグ!L36))</f>
        <v>0.05未満</v>
      </c>
      <c r="I36" s="199" t="str">
        <f>IF(cnt_喜佐平!$V$5=0,"",IF(演算タグ!N36&lt;0.05,"0.05未満",演算タグ!N36))</f>
        <v>0.05未満</v>
      </c>
      <c r="J36" s="96"/>
      <c r="K36" s="96"/>
      <c r="L36" s="96"/>
      <c r="M36" s="96"/>
      <c r="N36" s="96"/>
      <c r="O36" s="163"/>
      <c r="P36" s="95"/>
      <c r="Q36" s="96"/>
      <c r="R36" s="64" t="str">
        <f>IFERROR(VLOOKUP(R$9,#REF!,33,FALSE),"")</f>
        <v/>
      </c>
      <c r="S36" s="66" t="str">
        <f>IFERROR(VLOOKUP(S$9,#REF!,33,FALSE),"")</f>
        <v/>
      </c>
      <c r="T36" s="66" t="str">
        <f>IFERROR(VLOOKUP(T$9,#REF!,33,FALSE),"")</f>
        <v/>
      </c>
      <c r="U36" s="66" t="str">
        <f>IFERROR(VLOOKUP(U$9,#REF!,33,FALSE),"")</f>
        <v/>
      </c>
      <c r="V36" s="66" t="str">
        <f>IFERROR(VLOOKUP(V$9,#REF!,33,FALSE),"")</f>
        <v/>
      </c>
      <c r="W36" s="66" t="str">
        <f>IFERROR(VLOOKUP(W$9,#REF!,33,FALSE),"")</f>
        <v/>
      </c>
      <c r="X36" s="66" t="str">
        <f>IFERROR(VLOOKUP(X$9,#REF!,33,FALSE),"")</f>
        <v/>
      </c>
      <c r="Y36" s="66" t="str">
        <f>IFERROR(VLOOKUP(Y$9,#REF!,33,FALSE),"")</f>
        <v/>
      </c>
      <c r="Z36" s="66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IFERROR(VLOOKUP(ACN$9,#REF!,33,FALSE),"")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9" t="e">
        <f>#REF!</f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tr">
        <f>IF(cnt_小原東部浄水!$AR$5=0,"",IF(演算タグ!D37&lt;0.002,"0.002未満",演算タグ!D37))</f>
        <v/>
      </c>
      <c r="E37" s="94" t="str">
        <f>IF(cnt_簗平!$AR$5=0,"",IF(演算タグ!F37&lt;0.002,"0.002未満",演算タグ!F37))</f>
        <v/>
      </c>
      <c r="F37" s="94" t="str">
        <f>IF(cnt_小原北部浄水!$AR$5=0,"",IF(演算タグ!H37&lt;0.002,"0.002未満",演算タグ!H37))</f>
        <v/>
      </c>
      <c r="G37" s="94" t="str">
        <f>IF(cnt_大ケ蔵連!$AR$5=0,"",IF(演算タグ!J37&lt;0.002,"0.002未満",演算タグ!J37))</f>
        <v/>
      </c>
      <c r="H37" s="94" t="str">
        <f>IF(cnt_小原西部浄水!$AR$5=0,"",IF(演算タグ!L37&lt;0.002,"0.002未満",演算タグ!L37))</f>
        <v/>
      </c>
      <c r="I37" s="198" t="str">
        <f>IF(cnt_喜佐平!$AR$5=0,"",IF(演算タグ!N37&lt;0.002,"0.002未満",演算タグ!N37))</f>
        <v/>
      </c>
      <c r="J37" s="94"/>
      <c r="K37" s="94"/>
      <c r="L37" s="94"/>
      <c r="M37" s="94"/>
      <c r="N37" s="94"/>
      <c r="O37" s="162"/>
      <c r="P37" s="93"/>
      <c r="Q37" s="94"/>
      <c r="R37" s="64" t="str">
        <f>IFERROR(VLOOKUP(R$9,#REF!,57,FALSE),"")</f>
        <v/>
      </c>
      <c r="S37" s="66" t="str">
        <f>IFERROR(VLOOKUP(S$9,#REF!,57,FALSE),"")</f>
        <v/>
      </c>
      <c r="T37" s="66" t="str">
        <f>IFERROR(VLOOKUP(T$9,#REF!,57,FALSE),"")</f>
        <v/>
      </c>
      <c r="U37" s="66" t="str">
        <f>IFERROR(VLOOKUP(U$9,#REF!,57,FALSE),"")</f>
        <v/>
      </c>
      <c r="V37" s="66" t="str">
        <f>IFERROR(VLOOKUP(V$9,#REF!,57,FALSE),"")</f>
        <v/>
      </c>
      <c r="W37" s="66" t="str">
        <f>IFERROR(VLOOKUP(W$9,#REF!,57,FALSE),"")</f>
        <v/>
      </c>
      <c r="X37" s="66" t="str">
        <f>IFERROR(VLOOKUP(X$9,#REF!,57,FALSE),"")</f>
        <v/>
      </c>
      <c r="Y37" s="66" t="str">
        <f>IFERROR(VLOOKUP(Y$9,#REF!,57,FALSE),"")</f>
        <v/>
      </c>
      <c r="Z37" s="66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IFERROR(VLOOKUP(ACN$9,#REF!,57,FALSE),"")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9" t="e">
        <f>#REF!</f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>
        <f>IF(cnt_小原東部浄水!$AH$5=0,"",IF(演算タグ!E38&lt;0.001,"0.001未満",演算タグ!E38))</f>
        <v>3.0000000000000001E-3</v>
      </c>
      <c r="E38" s="94">
        <f>IF(cnt_簗平!$AH$5=0,"",IF(演算タグ!G38&lt;0.001,"0.001未満",演算タグ!G38))</f>
        <v>6.0000000000000001E-3</v>
      </c>
      <c r="F38" s="94">
        <f>IF(cnt_小原北部浄水!$AH$5=0,"",IF(演算タグ!I38&lt;0.001,"0.001未満",演算タグ!I38))</f>
        <v>7.0000000000000001E-3</v>
      </c>
      <c r="G38" s="94">
        <f>IF(cnt_大ケ蔵連!$AH$5=0,"",IF(演算タグ!K38&lt;0.001,"0.001未満",演算タグ!K38))</f>
        <v>0.01</v>
      </c>
      <c r="H38" s="94">
        <f>IF(cnt_小原西部浄水!$AH$5=0,"",IF(演算タグ!M38&lt;0.001,"0.001未満",演算タグ!M38))</f>
        <v>3.0000000000000001E-3</v>
      </c>
      <c r="I38" s="198">
        <f>IF(cnt_喜佐平!$AH$5=0,"",IF(演算タグ!O38&lt;0.001,"0.001未満",演算タグ!O38))</f>
        <v>8.0000000000000002E-3</v>
      </c>
      <c r="J38" s="94"/>
      <c r="K38" s="94"/>
      <c r="L38" s="94"/>
      <c r="M38" s="94"/>
      <c r="N38" s="94"/>
      <c r="O38" s="162"/>
      <c r="P38" s="93"/>
      <c r="Q38" s="94"/>
      <c r="R38" s="64" t="str">
        <f>IFERROR(VLOOKUP(R$9,#REF!,51,FALSE),"")</f>
        <v/>
      </c>
      <c r="S38" s="66" t="str">
        <f>IFERROR(VLOOKUP(S$9,#REF!,51,FALSE),"")</f>
        <v/>
      </c>
      <c r="T38" s="66" t="str">
        <f>IFERROR(VLOOKUP(T$9,#REF!,51,FALSE),"")</f>
        <v/>
      </c>
      <c r="U38" s="66" t="str">
        <f>IFERROR(VLOOKUP(U$9,#REF!,51,FALSE),"")</f>
        <v/>
      </c>
      <c r="V38" s="66" t="str">
        <f>IFERROR(VLOOKUP(V$9,#REF!,51,FALSE),"")</f>
        <v/>
      </c>
      <c r="W38" s="66" t="str">
        <f>IFERROR(VLOOKUP(W$9,#REF!,51,FALSE),"")</f>
        <v/>
      </c>
      <c r="X38" s="66" t="str">
        <f>IFERROR(VLOOKUP(X$9,#REF!,51,FALSE),"")</f>
        <v/>
      </c>
      <c r="Y38" s="66" t="str">
        <f>IFERROR(VLOOKUP(Y$9,#REF!,51,FALSE),"")</f>
        <v/>
      </c>
      <c r="Z38" s="66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IFERROR(VLOOKUP(ACN$9,#REF!,51,FALSE),"")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9" t="e">
        <f>#REF!</f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tr">
        <f>IF(cnt_小原東部浄水!$AS$5=0,"",IF(演算タグ!D39&lt;0.002,"0.002未満",演算タグ!D39))</f>
        <v/>
      </c>
      <c r="E39" s="94" t="str">
        <f>IF(cnt_簗平!$AS$5=0,"",IF(演算タグ!F39&lt;0.002,"0.002未満",演算タグ!F39))</f>
        <v/>
      </c>
      <c r="F39" s="94" t="str">
        <f>IF(cnt_小原北部浄水!$AS$5=0,"",IF(演算タグ!H39&lt;0.002,"0.002未満",演算タグ!H39))</f>
        <v/>
      </c>
      <c r="G39" s="94" t="str">
        <f>IF(cnt_大ケ蔵連!$AS$5=0,"",IF(演算タグ!J39&lt;0.002,"0.002未満",演算タグ!J39))</f>
        <v/>
      </c>
      <c r="H39" s="94" t="str">
        <f>IF(cnt_小原西部浄水!$AS$5=0,"",IF(演算タグ!L39&lt;0.002,"0.002未満",演算タグ!L39))</f>
        <v/>
      </c>
      <c r="I39" s="198" t="str">
        <f>IF(cnt_喜佐平!$AS$5=0,"",IF(演算タグ!N39&lt;0.002,"0.002未満",演算タグ!N39))</f>
        <v/>
      </c>
      <c r="J39" s="94"/>
      <c r="K39" s="94"/>
      <c r="L39" s="94"/>
      <c r="M39" s="94"/>
      <c r="N39" s="94"/>
      <c r="O39" s="162"/>
      <c r="P39" s="93"/>
      <c r="Q39" s="94"/>
      <c r="R39" s="64" t="str">
        <f>IFERROR(VLOOKUP(R$9,#REF!,58,FALSE),"")</f>
        <v/>
      </c>
      <c r="S39" s="66" t="str">
        <f>IFERROR(VLOOKUP(S$9,#REF!,58,FALSE),"")</f>
        <v/>
      </c>
      <c r="T39" s="66" t="str">
        <f>IFERROR(VLOOKUP(T$9,#REF!,58,FALSE),"")</f>
        <v/>
      </c>
      <c r="U39" s="66" t="str">
        <f>IFERROR(VLOOKUP(U$9,#REF!,58,FALSE),"")</f>
        <v/>
      </c>
      <c r="V39" s="66" t="str">
        <f>IFERROR(VLOOKUP(V$9,#REF!,58,FALSE),"")</f>
        <v/>
      </c>
      <c r="W39" s="66" t="str">
        <f>IFERROR(VLOOKUP(W$9,#REF!,58,FALSE),"")</f>
        <v/>
      </c>
      <c r="X39" s="66" t="str">
        <f>IFERROR(VLOOKUP(X$9,#REF!,58,FALSE),"")</f>
        <v/>
      </c>
      <c r="Y39" s="66" t="str">
        <f>IFERROR(VLOOKUP(Y$9,#REF!,58,FALSE),"")</f>
        <v/>
      </c>
      <c r="Z39" s="66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IFERROR(VLOOKUP(ACN$9,#REF!,58,FALSE),"")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9" t="e">
        <f>#REF!</f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tr">
        <f>IF(cnt_小原東部浄水!$AI$5=0,"",IF(演算タグ!E40&lt;0.001,"0.001未満",演算タグ!E40))</f>
        <v>0.001未満</v>
      </c>
      <c r="E40" s="94" t="str">
        <f>IF(cnt_簗平!$AI$5=0,"",IF(演算タグ!G40&lt;0.001,"0.001未満",演算タグ!G40))</f>
        <v>0.001未満</v>
      </c>
      <c r="F40" s="94" t="str">
        <f>IF(cnt_小原北部浄水!$AI$5=0,"",IF(演算タグ!I40&lt;0.001,"0.001未満",演算タグ!I40))</f>
        <v>0.001未満</v>
      </c>
      <c r="G40" s="94" t="str">
        <f>IF(cnt_大ケ蔵連!$AI$5=0,"",IF(演算タグ!K40&lt;0.001,"0.001未満",演算タグ!K40))</f>
        <v>0.001未満</v>
      </c>
      <c r="H40" s="94" t="str">
        <f>IF(cnt_小原西部浄水!$AI$5=0,"",IF(演算タグ!M40&lt;0.001,"0.001未満",演算タグ!M40))</f>
        <v>0.001未満</v>
      </c>
      <c r="I40" s="198" t="str">
        <f>IF(cnt_喜佐平!$AI$5=0,"",IF(演算タグ!O40&lt;0.001,"0.001未満",演算タグ!O40))</f>
        <v>0.001未満</v>
      </c>
      <c r="J40" s="94"/>
      <c r="K40" s="94"/>
      <c r="L40" s="94"/>
      <c r="M40" s="94"/>
      <c r="N40" s="94"/>
      <c r="O40" s="162"/>
      <c r="P40" s="93"/>
      <c r="Q40" s="94"/>
      <c r="R40" s="64" t="str">
        <f>IFERROR(VLOOKUP(R$9,#REF!,52,FALSE),"")</f>
        <v/>
      </c>
      <c r="S40" s="66" t="str">
        <f>IFERROR(VLOOKUP(S$9,#REF!,52,FALSE),"")</f>
        <v/>
      </c>
      <c r="T40" s="66" t="str">
        <f>IFERROR(VLOOKUP(T$9,#REF!,52,FALSE),"")</f>
        <v/>
      </c>
      <c r="U40" s="66" t="str">
        <f>IFERROR(VLOOKUP(U$9,#REF!,52,FALSE),"")</f>
        <v/>
      </c>
      <c r="V40" s="66" t="str">
        <f>IFERROR(VLOOKUP(V$9,#REF!,52,FALSE),"")</f>
        <v/>
      </c>
      <c r="W40" s="66" t="str">
        <f>IFERROR(VLOOKUP(W$9,#REF!,52,FALSE),"")</f>
        <v/>
      </c>
      <c r="X40" s="66" t="str">
        <f>IFERROR(VLOOKUP(X$9,#REF!,52,FALSE),"")</f>
        <v/>
      </c>
      <c r="Y40" s="66" t="str">
        <f>IFERROR(VLOOKUP(Y$9,#REF!,52,FALSE),"")</f>
        <v/>
      </c>
      <c r="Z40" s="66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IFERROR(VLOOKUP(ACN$9,#REF!,52,FALSE),"")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9" t="e">
        <f>#REF!</f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tr">
        <f>IF(cnt_小原東部浄水!$AU$5=0,"",IF(演算タグ!D41&lt;0.001,"0.001未満",演算タグ!D41))</f>
        <v/>
      </c>
      <c r="E41" s="94" t="str">
        <f>IF(cnt_簗平!$AU$5=0,"",IF(演算タグ!F41&lt;0.001,"0.001未満",演算タグ!F41))</f>
        <v/>
      </c>
      <c r="F41" s="94" t="str">
        <f>IF(cnt_小原北部浄水!$AU$5=0,"",IF(演算タグ!H41&lt;0.001,"0.001未満",演算タグ!H41))</f>
        <v/>
      </c>
      <c r="G41" s="94" t="str">
        <f>IF(cnt_大ケ蔵連!$AU$5=0,"",IF(演算タグ!J41&lt;0.001,"0.001未満",演算タグ!J41))</f>
        <v/>
      </c>
      <c r="H41" s="94" t="str">
        <f>IF(cnt_小原西部浄水!$AU$5=0,"",IF(演算タグ!L41&lt;0.001,"0.001未満",演算タグ!L41))</f>
        <v/>
      </c>
      <c r="I41" s="198" t="str">
        <f>IF(cnt_喜佐平!$AU$5=0,"",IF(演算タグ!N41&lt;0.001,"0.001未満",演算タグ!N41))</f>
        <v/>
      </c>
      <c r="J41" s="94"/>
      <c r="K41" s="94"/>
      <c r="L41" s="94"/>
      <c r="M41" s="94"/>
      <c r="N41" s="94"/>
      <c r="O41" s="162"/>
      <c r="P41" s="93"/>
      <c r="Q41" s="94"/>
      <c r="R41" s="64" t="str">
        <f>IFERROR(VLOOKUP(R$9,#REF!,62,FALSE),"")</f>
        <v/>
      </c>
      <c r="S41" s="66" t="str">
        <f>IFERROR(VLOOKUP(S$9,#REF!,62,FALSE),"")</f>
        <v/>
      </c>
      <c r="T41" s="66" t="str">
        <f>IFERROR(VLOOKUP(T$9,#REF!,62,FALSE),"")</f>
        <v/>
      </c>
      <c r="U41" s="66" t="str">
        <f>IFERROR(VLOOKUP(U$9,#REF!,62,FALSE),"")</f>
        <v/>
      </c>
      <c r="V41" s="66" t="str">
        <f>IFERROR(VLOOKUP(V$9,#REF!,62,FALSE),"")</f>
        <v/>
      </c>
      <c r="W41" s="66" t="str">
        <f>IFERROR(VLOOKUP(W$9,#REF!,62,FALSE),"")</f>
        <v/>
      </c>
      <c r="X41" s="66" t="str">
        <f>IFERROR(VLOOKUP(X$9,#REF!,62,FALSE),"")</f>
        <v/>
      </c>
      <c r="Y41" s="66" t="str">
        <f>IFERROR(VLOOKUP(Y$9,#REF!,62,FALSE),"")</f>
        <v/>
      </c>
      <c r="Z41" s="66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IFERROR(VLOOKUP(ACN$9,#REF!,62,FALSE),"")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9" t="e">
        <f>#REF!</f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>
        <f>IF(cnt_小原東部浄水!$AL$5=0,"",IF(演算タグ!E42&lt;0.001,"0.001未満",演算タグ!E42))</f>
        <v>4.0000000000000001E-3</v>
      </c>
      <c r="E42" s="94">
        <f>IF(cnt_簗平!$AL$5=0,"",IF(演算タグ!G42&lt;0.001,"0.001未満",演算タグ!G42))</f>
        <v>8.0000000000000002E-3</v>
      </c>
      <c r="F42" s="94">
        <f>IF(cnt_小原北部浄水!$AL$5=0,"",IF(演算タグ!I42&lt;0.001,"0.001未満",演算タグ!I42))</f>
        <v>8.0000000000000002E-3</v>
      </c>
      <c r="G42" s="94">
        <f>IF(cnt_大ケ蔵連!$AL$5=0,"",IF(演算タグ!K42&lt;0.001,"0.001未満",演算タグ!K42))</f>
        <v>1.2E-2</v>
      </c>
      <c r="H42" s="94">
        <f>IF(cnt_小原西部浄水!$AL$5=0,"",IF(演算タグ!M42&lt;0.001,"0.001未満",演算タグ!M42))</f>
        <v>3.0000000000000001E-3</v>
      </c>
      <c r="I42" s="198">
        <f>IF(cnt_喜佐平!$AL$5=0,"",IF(演算タグ!O42&lt;0.001,"0.001未満",演算タグ!O42))</f>
        <v>0.01</v>
      </c>
      <c r="J42" s="94"/>
      <c r="K42" s="94"/>
      <c r="L42" s="94"/>
      <c r="M42" s="94"/>
      <c r="N42" s="94"/>
      <c r="O42" s="162"/>
      <c r="P42" s="93"/>
      <c r="Q42" s="94"/>
      <c r="R42" s="64" t="str">
        <f>IFERROR(VLOOKUP(R$9,#REF!,55,FALSE),"")</f>
        <v/>
      </c>
      <c r="S42" s="66" t="str">
        <f>IFERROR(VLOOKUP(S$9,#REF!,55,FALSE),"")</f>
        <v/>
      </c>
      <c r="T42" s="66" t="str">
        <f>IFERROR(VLOOKUP(T$9,#REF!,55,FALSE),"")</f>
        <v/>
      </c>
      <c r="U42" s="66" t="str">
        <f>IFERROR(VLOOKUP(U$9,#REF!,55,FALSE),"")</f>
        <v/>
      </c>
      <c r="V42" s="66" t="str">
        <f>IFERROR(VLOOKUP(V$9,#REF!,55,FALSE),"")</f>
        <v/>
      </c>
      <c r="W42" s="66" t="str">
        <f>IFERROR(VLOOKUP(W$9,#REF!,55,FALSE),"")</f>
        <v/>
      </c>
      <c r="X42" s="66" t="str">
        <f>IFERROR(VLOOKUP(X$9,#REF!,55,FALSE),"")</f>
        <v/>
      </c>
      <c r="Y42" s="66" t="str">
        <f>IFERROR(VLOOKUP(Y$9,#REF!,55,FALSE),"")</f>
        <v/>
      </c>
      <c r="Z42" s="66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IFERROR(VLOOKUP(ACN$9,#REF!,55,FALSE),"")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9" t="e">
        <f>#REF!</f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tr">
        <f>IF(cnt_小原東部浄水!$AT$5=0,"",IF(演算タグ!D43&lt;0.002,"0.002未満",演算タグ!D43))</f>
        <v/>
      </c>
      <c r="E43" s="94" t="str">
        <f>IF(cnt_簗平!$AT$5=0,"",IF(演算タグ!F43&lt;0.002,"0.002未満",演算タグ!F43))</f>
        <v/>
      </c>
      <c r="F43" s="94" t="str">
        <f>IF(cnt_小原北部浄水!$AT$5=0,"",IF(演算タグ!H43&lt;0.002,"0.002未満",演算タグ!H43))</f>
        <v/>
      </c>
      <c r="G43" s="94" t="str">
        <f>IF(cnt_大ケ蔵連!$AT$5=0,"",IF(演算タグ!J43&lt;0.002,"0.002未満",演算タグ!J43))</f>
        <v/>
      </c>
      <c r="H43" s="94" t="str">
        <f>IF(cnt_小原西部浄水!$AT$5=0,"",IF(演算タグ!L43&lt;0.002,"0.002未満",演算タグ!L43))</f>
        <v/>
      </c>
      <c r="I43" s="198" t="str">
        <f>IF(cnt_喜佐平!$AT$5=0,"",IF(演算タグ!N43&lt;0.002,"0.002未満",演算タグ!N43))</f>
        <v/>
      </c>
      <c r="J43" s="94"/>
      <c r="K43" s="94"/>
      <c r="L43" s="94"/>
      <c r="M43" s="94"/>
      <c r="N43" s="94"/>
      <c r="O43" s="162"/>
      <c r="P43" s="93"/>
      <c r="Q43" s="94"/>
      <c r="R43" s="64" t="str">
        <f>IFERROR(VLOOKUP(R$9,#REF!,59,FALSE),"")</f>
        <v/>
      </c>
      <c r="S43" s="66" t="str">
        <f>IFERROR(VLOOKUP(S$9,#REF!,59,FALSE),"")</f>
        <v/>
      </c>
      <c r="T43" s="66" t="str">
        <f>IFERROR(VLOOKUP(T$9,#REF!,59,FALSE),"")</f>
        <v/>
      </c>
      <c r="U43" s="66" t="str">
        <f>IFERROR(VLOOKUP(U$9,#REF!,59,FALSE),"")</f>
        <v/>
      </c>
      <c r="V43" s="66" t="str">
        <f>IFERROR(VLOOKUP(V$9,#REF!,59,FALSE),"")</f>
        <v/>
      </c>
      <c r="W43" s="66" t="str">
        <f>IFERROR(VLOOKUP(W$9,#REF!,59,FALSE),"")</f>
        <v/>
      </c>
      <c r="X43" s="66" t="str">
        <f>IFERROR(VLOOKUP(X$9,#REF!,59,FALSE),"")</f>
        <v/>
      </c>
      <c r="Y43" s="66" t="str">
        <f>IFERROR(VLOOKUP(Y$9,#REF!,59,FALSE),"")</f>
        <v/>
      </c>
      <c r="Z43" s="66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IFERROR(VLOOKUP(ACN$9,#REF!,59,FALSE),"")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9" t="e">
        <f>#REF!</f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>
        <f>IF(cnt_小原東部浄水!$AJ$5=0,"",IF(演算タグ!E44&lt;0.001,"0.001未満",演算タグ!E44))</f>
        <v>1E-3</v>
      </c>
      <c r="E44" s="94">
        <f>IF(cnt_簗平!$AJ$5=0,"",IF(演算タグ!G44&lt;0.001,"0.001未満",演算タグ!G44))</f>
        <v>2E-3</v>
      </c>
      <c r="F44" s="94">
        <f>IF(cnt_小原北部浄水!$AJ$5=0,"",IF(演算タグ!I44&lt;0.001,"0.001未満",演算タグ!I44))</f>
        <v>1E-3</v>
      </c>
      <c r="G44" s="94">
        <f>IF(cnt_大ケ蔵連!$AJ$5=0,"",IF(演算タグ!K44&lt;0.001,"0.001未満",演算タグ!K44))</f>
        <v>2E-3</v>
      </c>
      <c r="H44" s="94" t="str">
        <f>IF(cnt_小原西部浄水!$AJ$5=0,"",IF(演算タグ!M44&lt;0.001,"0.001未満",演算タグ!M44))</f>
        <v>0.001未満</v>
      </c>
      <c r="I44" s="198">
        <f>IF(cnt_喜佐平!$AJ$5=0,"",IF(演算タグ!O44&lt;0.001,"0.001未満",演算タグ!O44))</f>
        <v>2E-3</v>
      </c>
      <c r="J44" s="94"/>
      <c r="K44" s="94"/>
      <c r="L44" s="94"/>
      <c r="M44" s="94"/>
      <c r="N44" s="94"/>
      <c r="O44" s="162"/>
      <c r="P44" s="93"/>
      <c r="Q44" s="94"/>
      <c r="R44" s="64" t="str">
        <f>IFERROR(VLOOKUP(R$9,#REF!,53,FALSE),"")</f>
        <v/>
      </c>
      <c r="S44" s="66" t="str">
        <f>IFERROR(VLOOKUP(S$9,#REF!,53,FALSE),"")</f>
        <v/>
      </c>
      <c r="T44" s="66" t="str">
        <f>IFERROR(VLOOKUP(T$9,#REF!,53,FALSE),"")</f>
        <v/>
      </c>
      <c r="U44" s="66" t="str">
        <f>IFERROR(VLOOKUP(U$9,#REF!,53,FALSE),"")</f>
        <v/>
      </c>
      <c r="V44" s="66" t="str">
        <f>IFERROR(VLOOKUP(V$9,#REF!,53,FALSE),"")</f>
        <v/>
      </c>
      <c r="W44" s="66" t="str">
        <f>IFERROR(VLOOKUP(W$9,#REF!,53,FALSE),"")</f>
        <v/>
      </c>
      <c r="X44" s="66" t="str">
        <f>IFERROR(VLOOKUP(X$9,#REF!,53,FALSE),"")</f>
        <v/>
      </c>
      <c r="Y44" s="66" t="str">
        <f>IFERROR(VLOOKUP(Y$9,#REF!,53,FALSE),"")</f>
        <v/>
      </c>
      <c r="Z44" s="66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IFERROR(VLOOKUP(ACN$9,#REF!,53,FALSE),"")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9" t="e">
        <f>#REF!</f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tr">
        <f>IF(cnt_小原東部浄水!$AK$5=0,"",IF(演算タグ!E45&lt;0.001,"0.001未満",演算タグ!E45))</f>
        <v>0.001未満</v>
      </c>
      <c r="E45" s="94" t="str">
        <f>IF(cnt_簗平!$AK$5=0,"",IF(演算タグ!G45&lt;0.001,"0.001未満",演算タグ!G45))</f>
        <v>0.001未満</v>
      </c>
      <c r="F45" s="94" t="str">
        <f>IF(cnt_小原北部浄水!$AK$5=0,"",IF(演算タグ!I45&lt;0.001,"0.001未満",演算タグ!I45))</f>
        <v>0.001未満</v>
      </c>
      <c r="G45" s="94" t="str">
        <f>IF(cnt_大ケ蔵連!$AK$5=0,"",IF(演算タグ!K45&lt;0.001,"0.001未満",演算タグ!K45))</f>
        <v>0.001未満</v>
      </c>
      <c r="H45" s="94" t="str">
        <f>IF(cnt_小原西部浄水!$AK$5=0,"",IF(演算タグ!M45&lt;0.001,"0.001未満",演算タグ!M45))</f>
        <v>0.001未満</v>
      </c>
      <c r="I45" s="198" t="str">
        <f>IF(cnt_喜佐平!$AK$5=0,"",IF(演算タグ!O45&lt;0.001,"0.001未満",演算タグ!O45))</f>
        <v>0.001未満</v>
      </c>
      <c r="J45" s="94"/>
      <c r="K45" s="94"/>
      <c r="L45" s="94"/>
      <c r="M45" s="94"/>
      <c r="N45" s="94"/>
      <c r="O45" s="162"/>
      <c r="P45" s="93"/>
      <c r="Q45" s="94"/>
      <c r="R45" s="64" t="str">
        <f>IFERROR(VLOOKUP(R$9,#REF!,54,FALSE),"")</f>
        <v/>
      </c>
      <c r="S45" s="66" t="str">
        <f>IFERROR(VLOOKUP(S$9,#REF!,54,FALSE),"")</f>
        <v/>
      </c>
      <c r="T45" s="66" t="str">
        <f>IFERROR(VLOOKUP(T$9,#REF!,54,FALSE),"")</f>
        <v/>
      </c>
      <c r="U45" s="66" t="str">
        <f>IFERROR(VLOOKUP(U$9,#REF!,54,FALSE),"")</f>
        <v/>
      </c>
      <c r="V45" s="66" t="str">
        <f>IFERROR(VLOOKUP(V$9,#REF!,54,FALSE),"")</f>
        <v/>
      </c>
      <c r="W45" s="66" t="str">
        <f>IFERROR(VLOOKUP(W$9,#REF!,54,FALSE),"")</f>
        <v/>
      </c>
      <c r="X45" s="66" t="str">
        <f>IFERROR(VLOOKUP(X$9,#REF!,54,FALSE),"")</f>
        <v/>
      </c>
      <c r="Y45" s="66" t="str">
        <f>IFERROR(VLOOKUP(Y$9,#REF!,54,FALSE),"")</f>
        <v/>
      </c>
      <c r="Z45" s="66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IFERROR(VLOOKUP(ACN$9,#REF!,54,FALSE),"")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9" t="e">
        <f>#REF!</f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tr">
        <f>IF(cnt_小原東部浄水!$AV$5=0,"",IF(演算タグ!D46&lt;0.008,"0.008未満",演算タグ!D46))</f>
        <v/>
      </c>
      <c r="E46" s="94" t="str">
        <f>IF(cnt_簗平!$AV$5=0,"",IF(演算タグ!F46&lt;0.008,"0.008未満",演算タグ!F46))</f>
        <v/>
      </c>
      <c r="F46" s="94" t="str">
        <f>IF(cnt_小原北部浄水!$AV$5=0,"",IF(演算タグ!H46&lt;0.008,"0.008未満",演算タグ!H46))</f>
        <v/>
      </c>
      <c r="G46" s="94" t="str">
        <f>IF(cnt_大ケ蔵連!$AV$5=0,"",IF(演算タグ!J46&lt;0.008,"0.008未満",演算タグ!J46))</f>
        <v/>
      </c>
      <c r="H46" s="94" t="str">
        <f>IF(cnt_小原西部浄水!$AV$5=0,"",IF(演算タグ!L46&lt;0.008,"0.008未満",演算タグ!L46))</f>
        <v/>
      </c>
      <c r="I46" s="198" t="str">
        <f>IF(cnt_喜佐平!$AV$5=0,"",IF(演算タグ!N46&lt;0.008,"0.008未満",演算タグ!N46))</f>
        <v/>
      </c>
      <c r="J46" s="94"/>
      <c r="K46" s="94"/>
      <c r="L46" s="94"/>
      <c r="M46" s="94"/>
      <c r="N46" s="94"/>
      <c r="O46" s="162"/>
      <c r="P46" s="93"/>
      <c r="Q46" s="94"/>
      <c r="R46" s="64" t="str">
        <f>IFERROR(VLOOKUP(R$9,#REF!,65,FALSE),"")</f>
        <v/>
      </c>
      <c r="S46" s="66" t="str">
        <f>IFERROR(VLOOKUP(S$9,#REF!,65,FALSE),"")</f>
        <v/>
      </c>
      <c r="T46" s="66" t="str">
        <f>IFERROR(VLOOKUP(T$9,#REF!,65,FALSE),"")</f>
        <v/>
      </c>
      <c r="U46" s="66" t="str">
        <f>IFERROR(VLOOKUP(U$9,#REF!,65,FALSE),"")</f>
        <v/>
      </c>
      <c r="V46" s="66" t="str">
        <f>IFERROR(VLOOKUP(V$9,#REF!,65,FALSE),"")</f>
        <v/>
      </c>
      <c r="W46" s="66" t="str">
        <f>IFERROR(VLOOKUP(W$9,#REF!,65,FALSE),"")</f>
        <v/>
      </c>
      <c r="X46" s="66" t="str">
        <f>IFERROR(VLOOKUP(X$9,#REF!,65,FALSE),"")</f>
        <v/>
      </c>
      <c r="Y46" s="66" t="str">
        <f>IFERROR(VLOOKUP(Y$9,#REF!,65,FALSE),"")</f>
        <v/>
      </c>
      <c r="Z46" s="66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IFERROR(VLOOKUP(ACN$9,#REF!,65,FALSE),"")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9" t="e">
        <f>#REF!</f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 t="str">
        <f>IF(cnt_小原東部浄水!$J$5=0,"",IF(演算タグ!E47&lt;0.002,"0.002未満",演算タグ!E47))</f>
        <v/>
      </c>
      <c r="E47" s="94" t="str">
        <f>IF(cnt_簗平!$J$5=0,"",IF(演算タグ!G47&lt;0.002,"0.002未満",演算タグ!G47))</f>
        <v/>
      </c>
      <c r="F47" s="94" t="str">
        <f>IF(cnt_小原北部浄水!$J$5=0,"",IF(演算タグ!I47&lt;0.002,"0.002未満",演算タグ!I47))</f>
        <v/>
      </c>
      <c r="G47" s="94" t="str">
        <f>IF(cnt_大ケ蔵連!$J$5=0,"",IF(演算タグ!K47&lt;0.002,"0.002未満",演算タグ!K47))</f>
        <v/>
      </c>
      <c r="H47" s="94" t="str">
        <f>IF(cnt_小原西部浄水!$J$5=0,"",IF(演算タグ!M47&lt;0.002,"0.002未満",演算タグ!M47))</f>
        <v/>
      </c>
      <c r="I47" s="198" t="str">
        <f>IF(cnt_喜佐平!$J$5=0,"",IF(演算タグ!O47&lt;0.002,"0.002未満",演算タグ!O47))</f>
        <v/>
      </c>
      <c r="J47" s="94"/>
      <c r="K47" s="94"/>
      <c r="L47" s="94"/>
      <c r="M47" s="94"/>
      <c r="N47" s="94"/>
      <c r="O47" s="162"/>
      <c r="P47" s="93"/>
      <c r="Q47" s="94"/>
      <c r="R47" s="64" t="str">
        <f>IFERROR(VLOOKUP(R$9,#REF!,18,FALSE),"")</f>
        <v/>
      </c>
      <c r="S47" s="66" t="str">
        <f>IFERROR(VLOOKUP(S$9,#REF!,18,FALSE),"")</f>
        <v/>
      </c>
      <c r="T47" s="66" t="str">
        <f>IFERROR(VLOOKUP(T$9,#REF!,18,FALSE),"")</f>
        <v/>
      </c>
      <c r="U47" s="66" t="str">
        <f>IFERROR(VLOOKUP(U$9,#REF!,18,FALSE),"")</f>
        <v/>
      </c>
      <c r="V47" s="66" t="str">
        <f>IFERROR(VLOOKUP(V$9,#REF!,18,FALSE),"")</f>
        <v/>
      </c>
      <c r="W47" s="66" t="str">
        <f>IFERROR(VLOOKUP(W$9,#REF!,18,FALSE),"")</f>
        <v/>
      </c>
      <c r="X47" s="66" t="str">
        <f>IFERROR(VLOOKUP(X$9,#REF!,18,FALSE),"")</f>
        <v/>
      </c>
      <c r="Y47" s="66" t="str">
        <f>IFERROR(VLOOKUP(Y$9,#REF!,18,FALSE),"")</f>
        <v/>
      </c>
      <c r="Z47" s="66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IFERROR(VLOOKUP(ACN$9,#REF!,18,FALSE),"")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9" t="e">
        <f>#REF!</f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tr">
        <f>IF(cnt_小原東部浄水!$K$5=0,"",IF(演算タグ!E48&lt;0.01,"0.01未満",演算タグ!E48))</f>
        <v/>
      </c>
      <c r="E48" s="96" t="str">
        <f>IF(cnt_簗平!$K$5=0,"",IF(演算タグ!G48&lt;0.01,"0.01未満",演算タグ!G48))</f>
        <v/>
      </c>
      <c r="F48" s="96" t="str">
        <f>IF(cnt_小原北部浄水!$K$5=0,"",IF(演算タグ!I48&lt;0.01,"0.01未満",演算タグ!I48))</f>
        <v/>
      </c>
      <c r="G48" s="96" t="str">
        <f>IF(cnt_大ケ蔵連!$K$5=0,"",IF(演算タグ!K48&lt;0.01,"0.01未満",演算タグ!K48))</f>
        <v/>
      </c>
      <c r="H48" s="96" t="str">
        <f>IF(cnt_小原西部浄水!$K$5=0,"",IF(演算タグ!M48&lt;0.01,"0.01未満",演算タグ!M48))</f>
        <v/>
      </c>
      <c r="I48" s="199" t="str">
        <f>IF(cnt_喜佐平!$K$5=0,"",IF(演算タグ!O48&lt;0.01,"0.01未満",演算タグ!O48))</f>
        <v/>
      </c>
      <c r="J48" s="96"/>
      <c r="K48" s="96"/>
      <c r="L48" s="96"/>
      <c r="M48" s="96"/>
      <c r="N48" s="96"/>
      <c r="O48" s="163"/>
      <c r="P48" s="95"/>
      <c r="Q48" s="96"/>
      <c r="R48" s="64" t="str">
        <f>IFERROR(VLOOKUP(R$9,#REF!,19,FALSE),"")</f>
        <v/>
      </c>
      <c r="S48" s="66" t="str">
        <f>IFERROR(VLOOKUP(S$9,#REF!,19,FALSE),"")</f>
        <v/>
      </c>
      <c r="T48" s="66" t="str">
        <f>IFERROR(VLOOKUP(T$9,#REF!,19,FALSE),"")</f>
        <v/>
      </c>
      <c r="U48" s="66" t="str">
        <f>IFERROR(VLOOKUP(U$9,#REF!,19,FALSE),"")</f>
        <v/>
      </c>
      <c r="V48" s="66" t="str">
        <f>IFERROR(VLOOKUP(V$9,#REF!,19,FALSE),"")</f>
        <v/>
      </c>
      <c r="W48" s="66" t="str">
        <f>IFERROR(VLOOKUP(W$9,#REF!,19,FALSE),"")</f>
        <v/>
      </c>
      <c r="X48" s="66" t="str">
        <f>IFERROR(VLOOKUP(X$9,#REF!,19,FALSE),"")</f>
        <v/>
      </c>
      <c r="Y48" s="66" t="str">
        <f>IFERROR(VLOOKUP(Y$9,#REF!,19,FALSE),"")</f>
        <v/>
      </c>
      <c r="Z48" s="66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IFERROR(VLOOKUP(ACN$9,#REF!,19,FALSE),"")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9" t="e">
        <f>#REF!</f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tr">
        <f>IF(cnt_小原東部浄水!$L$5=0,"",IF(演算タグ!E49&lt;0.03,"0.03未満",演算タグ!E49))</f>
        <v/>
      </c>
      <c r="E49" s="96" t="str">
        <f>IF(cnt_簗平!$L$5=0,"",IF(演算タグ!G49&lt;0.03,"0.03未満",演算タグ!G49))</f>
        <v/>
      </c>
      <c r="F49" s="96" t="str">
        <f>IF(cnt_小原北部浄水!$L$5=0,"",IF(演算タグ!I49&lt;0.03,"0.03未満",演算タグ!I49))</f>
        <v/>
      </c>
      <c r="G49" s="96" t="str">
        <f>IF(cnt_大ケ蔵連!$L$5=0,"",IF(演算タグ!K49&lt;0.03,"0.03未満",演算タグ!K49))</f>
        <v/>
      </c>
      <c r="H49" s="96" t="str">
        <f>IF(cnt_小原西部浄水!$L$5=0,"",IF(演算タグ!M49&lt;0.03,"0.03未満",演算タグ!M49))</f>
        <v/>
      </c>
      <c r="I49" s="199" t="str">
        <f>IF(cnt_喜佐平!$L$5=0,"",IF(演算タグ!O49&lt;0.03,"0.03未満",演算タグ!O49))</f>
        <v/>
      </c>
      <c r="J49" s="96"/>
      <c r="K49" s="96"/>
      <c r="L49" s="96"/>
      <c r="M49" s="96"/>
      <c r="N49" s="96"/>
      <c r="O49" s="163"/>
      <c r="P49" s="95"/>
      <c r="Q49" s="96"/>
      <c r="R49" s="64" t="str">
        <f>IFERROR(VLOOKUP(R$9,#REF!,20,FALSE),"")</f>
        <v/>
      </c>
      <c r="S49" s="66" t="str">
        <f>IFERROR(VLOOKUP(S$9,#REF!,20,FALSE),"")</f>
        <v/>
      </c>
      <c r="T49" s="66" t="str">
        <f>IFERROR(VLOOKUP(T$9,#REF!,20,FALSE),"")</f>
        <v/>
      </c>
      <c r="U49" s="66" t="str">
        <f>IFERROR(VLOOKUP(U$9,#REF!,20,FALSE),"")</f>
        <v/>
      </c>
      <c r="V49" s="66" t="str">
        <f>IFERROR(VLOOKUP(V$9,#REF!,20,FALSE),"")</f>
        <v/>
      </c>
      <c r="W49" s="66" t="str">
        <f>IFERROR(VLOOKUP(W$9,#REF!,20,FALSE),"")</f>
        <v/>
      </c>
      <c r="X49" s="66" t="str">
        <f>IFERROR(VLOOKUP(X$9,#REF!,20,FALSE),"")</f>
        <v/>
      </c>
      <c r="Y49" s="66" t="str">
        <f>IFERROR(VLOOKUP(Y$9,#REF!,20,FALSE),"")</f>
        <v/>
      </c>
      <c r="Z49" s="66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IFERROR(VLOOKUP(ACN$9,#REF!,20,FALSE),"")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9" t="e">
        <f>#REF!</f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 t="str">
        <f>IF(cnt_小原東部浄水!$M$5=0,"",IF(演算タグ!E50&lt;0.002,"0.002未満",演算タグ!E50))</f>
        <v/>
      </c>
      <c r="E50" s="94" t="str">
        <f>IF(cnt_簗平!$M$5=0,"",IF(演算タグ!G50&lt;0.002,"0.002未満",演算タグ!G50))</f>
        <v/>
      </c>
      <c r="F50" s="94" t="str">
        <f>IF(cnt_小原北部浄水!$M$5=0,"",IF(演算タグ!I50&lt;0.002,"0.002未満",演算タグ!I50))</f>
        <v/>
      </c>
      <c r="G50" s="94" t="str">
        <f>IF(cnt_大ケ蔵連!$M$5=0,"",IF(演算タグ!K50&lt;0.002,"0.002未満",演算タグ!K50))</f>
        <v/>
      </c>
      <c r="H50" s="94" t="str">
        <f>IF(cnt_小原西部浄水!$M$5=0,"",IF(演算タグ!M50&lt;0.002,"0.002未満",演算タグ!M50))</f>
        <v/>
      </c>
      <c r="I50" s="198" t="str">
        <f>IF(cnt_喜佐平!$M$5=0,"",IF(演算タグ!O50&lt;0.002,"0.002未満",演算タグ!O50))</f>
        <v/>
      </c>
      <c r="J50" s="94"/>
      <c r="K50" s="94"/>
      <c r="L50" s="94"/>
      <c r="M50" s="94"/>
      <c r="N50" s="94"/>
      <c r="O50" s="162"/>
      <c r="P50" s="93"/>
      <c r="Q50" s="94"/>
      <c r="R50" s="64" t="str">
        <f>IFERROR(VLOOKUP(R$9,#REF!,21,FALSE),"")</f>
        <v/>
      </c>
      <c r="S50" s="66" t="str">
        <f>IFERROR(VLOOKUP(S$9,#REF!,21,FALSE),"")</f>
        <v/>
      </c>
      <c r="T50" s="66" t="str">
        <f>IFERROR(VLOOKUP(T$9,#REF!,21,FALSE),"")</f>
        <v/>
      </c>
      <c r="U50" s="66" t="str">
        <f>IFERROR(VLOOKUP(U$9,#REF!,21,FALSE),"")</f>
        <v/>
      </c>
      <c r="V50" s="66" t="str">
        <f>IFERROR(VLOOKUP(V$9,#REF!,21,FALSE),"")</f>
        <v/>
      </c>
      <c r="W50" s="66" t="str">
        <f>IFERROR(VLOOKUP(W$9,#REF!,21,FALSE),"")</f>
        <v/>
      </c>
      <c r="X50" s="66" t="str">
        <f>IFERROR(VLOOKUP(X$9,#REF!,21,FALSE),"")</f>
        <v/>
      </c>
      <c r="Y50" s="66" t="str">
        <f>IFERROR(VLOOKUP(Y$9,#REF!,21,FALSE),"")</f>
        <v/>
      </c>
      <c r="Z50" s="66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IFERROR(VLOOKUP(ACN$9,#REF!,21,FALSE),"")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9" t="e">
        <f>#REF!</f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 t="str">
        <f>IF(cnt_小原東部浄水!$Y$5=0,"",演算タグ!D51)</f>
        <v/>
      </c>
      <c r="E51" s="68" t="str">
        <f>IF(cnt_簗平!$Y$5=0,"",演算タグ!F51)</f>
        <v/>
      </c>
      <c r="F51" s="68" t="str">
        <f>IF(cnt_小原北部浄水!$Y$5=0,"",演算タグ!H51)</f>
        <v/>
      </c>
      <c r="G51" s="68" t="str">
        <f>IF(cnt_大ケ蔵連!$Y$5=0,"",演算タグ!J51)</f>
        <v/>
      </c>
      <c r="H51" s="68" t="str">
        <f>IF(cnt_小原西部浄水!$Y$5=0,"",演算タグ!L51)</f>
        <v/>
      </c>
      <c r="I51" s="193" t="str">
        <f>IF(cnt_喜佐平!$Y$5=0,"",演算タグ!N51)</f>
        <v/>
      </c>
      <c r="J51" s="68"/>
      <c r="K51" s="68"/>
      <c r="L51" s="68"/>
      <c r="M51" s="68"/>
      <c r="N51" s="68"/>
      <c r="O51" s="123"/>
      <c r="P51" s="67"/>
      <c r="Q51" s="68"/>
      <c r="R51" s="64" t="str">
        <f>IFERROR(VLOOKUP(R$9,#REF!,37,FALSE),"")</f>
        <v/>
      </c>
      <c r="S51" s="66" t="str">
        <f>IFERROR(VLOOKUP(S$9,#REF!,37,FALSE),"")</f>
        <v/>
      </c>
      <c r="T51" s="66" t="str">
        <f>IFERROR(VLOOKUP(T$9,#REF!,37,FALSE),"")</f>
        <v/>
      </c>
      <c r="U51" s="66" t="str">
        <f>IFERROR(VLOOKUP(U$9,#REF!,37,FALSE),"")</f>
        <v/>
      </c>
      <c r="V51" s="66" t="str">
        <f>IFERROR(VLOOKUP(V$9,#REF!,37,FALSE),"")</f>
        <v/>
      </c>
      <c r="W51" s="66" t="str">
        <f>IFERROR(VLOOKUP(W$9,#REF!,37,FALSE),"")</f>
        <v/>
      </c>
      <c r="X51" s="66" t="str">
        <f>IFERROR(VLOOKUP(X$9,#REF!,37,FALSE),"")</f>
        <v/>
      </c>
      <c r="Y51" s="66" t="str">
        <f>IFERROR(VLOOKUP(Y$9,#REF!,37,FALSE),"")</f>
        <v/>
      </c>
      <c r="Z51" s="66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IFERROR(VLOOKUP(ACN$9,#REF!,37,FALSE),"")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9" t="e">
        <f>#REF!</f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tr">
        <f>IF(cnt_小原東部浄水!$N$5=0,"",IF(演算タグ!E52&lt;0.001,"0.001未満",演算タグ!E52))</f>
        <v/>
      </c>
      <c r="E52" s="94" t="str">
        <f>IF(cnt_簗平!$N$5=0,"",IF(演算タグ!G52&lt;0.001,"0.001未満",演算タグ!G52))</f>
        <v/>
      </c>
      <c r="F52" s="94" t="str">
        <f>IF(cnt_小原北部浄水!$N$5=0,"",IF(演算タグ!I52&lt;0.001,"0.001未満",演算タグ!I52))</f>
        <v/>
      </c>
      <c r="G52" s="94" t="str">
        <f>IF(cnt_大ケ蔵連!$N$5=0,"",IF(演算タグ!K52&lt;0.001,"0.001未満",演算タグ!K52))</f>
        <v/>
      </c>
      <c r="H52" s="94" t="str">
        <f>IF(cnt_小原西部浄水!$N$5=0,"",IF(演算タグ!M52&lt;0.001,"0.001未満",演算タグ!M52))</f>
        <v/>
      </c>
      <c r="I52" s="198" t="str">
        <f>IF(cnt_喜佐平!$N$5=0,"",IF(演算タグ!O52&lt;0.001,"0.001未満",演算タグ!O52))</f>
        <v/>
      </c>
      <c r="J52" s="94"/>
      <c r="K52" s="94"/>
      <c r="L52" s="94"/>
      <c r="M52" s="94"/>
      <c r="N52" s="94"/>
      <c r="O52" s="162"/>
      <c r="P52" s="93"/>
      <c r="Q52" s="94"/>
      <c r="R52" s="64" t="str">
        <f>IFERROR(VLOOKUP(R$9,#REF!,22,FALSE),"")</f>
        <v/>
      </c>
      <c r="S52" s="66" t="str">
        <f>IFERROR(VLOOKUP(S$9,#REF!,22,FALSE),"")</f>
        <v/>
      </c>
      <c r="T52" s="66" t="str">
        <f>IFERROR(VLOOKUP(T$9,#REF!,22,FALSE),"")</f>
        <v/>
      </c>
      <c r="U52" s="66" t="str">
        <f>IFERROR(VLOOKUP(U$9,#REF!,22,FALSE),"")</f>
        <v/>
      </c>
      <c r="V52" s="66" t="str">
        <f>IFERROR(VLOOKUP(V$9,#REF!,22,FALSE),"")</f>
        <v/>
      </c>
      <c r="W52" s="66" t="str">
        <f>IFERROR(VLOOKUP(W$9,#REF!,22,FALSE),"")</f>
        <v/>
      </c>
      <c r="X52" s="66" t="str">
        <f>IFERROR(VLOOKUP(X$9,#REF!,22,FALSE),"")</f>
        <v/>
      </c>
      <c r="Y52" s="66" t="str">
        <f>IFERROR(VLOOKUP(Y$9,#REF!,22,FALSE),"")</f>
        <v/>
      </c>
      <c r="Z52" s="66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IFERROR(VLOOKUP(ACN$9,#REF!,22,FALSE),"")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9" t="e">
        <f>#REF!</f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f>IF(cnt_小原東部浄水!$U$5=0,"",演算タグ!D53)</f>
        <v>2.5</v>
      </c>
      <c r="E53" s="68">
        <f>IF(cnt_簗平!$U$5=0,"",演算タグ!F53)</f>
        <v>2.5</v>
      </c>
      <c r="F53" s="68">
        <f>IF(cnt_小原北部浄水!$U$5=0,"",演算タグ!H53)</f>
        <v>2.2000000000000002</v>
      </c>
      <c r="G53" s="68">
        <f>IF(cnt_大ケ蔵連!$U$5=0,"",演算タグ!J53)</f>
        <v>2.2000000000000002</v>
      </c>
      <c r="H53" s="68">
        <f>IF(cnt_小原西部浄水!$U$5=0,"",演算タグ!L53)</f>
        <v>2.1</v>
      </c>
      <c r="I53" s="193">
        <f>IF(cnt_喜佐平!$U$5=0,"",演算タグ!N53)</f>
        <v>2.2000000000000002</v>
      </c>
      <c r="J53" s="68"/>
      <c r="K53" s="68"/>
      <c r="L53" s="68"/>
      <c r="M53" s="68"/>
      <c r="N53" s="68"/>
      <c r="O53" s="123"/>
      <c r="P53" s="67"/>
      <c r="Q53" s="68"/>
      <c r="R53" s="64" t="str">
        <f>IFERROR(VLOOKUP(R$9,#REF!,32,FALSE),"")</f>
        <v/>
      </c>
      <c r="S53" s="66" t="str">
        <f>IFERROR(VLOOKUP(S$9,#REF!,32,FALSE),"")</f>
        <v/>
      </c>
      <c r="T53" s="66" t="str">
        <f>IFERROR(VLOOKUP(T$9,#REF!,32,FALSE),"")</f>
        <v/>
      </c>
      <c r="U53" s="66" t="str">
        <f>IFERROR(VLOOKUP(U$9,#REF!,32,FALSE),"")</f>
        <v/>
      </c>
      <c r="V53" s="66" t="str">
        <f>IFERROR(VLOOKUP(V$9,#REF!,32,FALSE),"")</f>
        <v/>
      </c>
      <c r="W53" s="66" t="str">
        <f>IFERROR(VLOOKUP(W$9,#REF!,32,FALSE),"")</f>
        <v/>
      </c>
      <c r="X53" s="66" t="str">
        <f>IFERROR(VLOOKUP(X$9,#REF!,32,FALSE),"")</f>
        <v/>
      </c>
      <c r="Y53" s="66" t="str">
        <f>IFERROR(VLOOKUP(Y$9,#REF!,32,FALSE),"")</f>
        <v/>
      </c>
      <c r="Z53" s="66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IFERROR(VLOOKUP(ACN$9,#REF!,32,FALSE),"")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9" t="e">
        <f>#REF!</f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 t="str">
        <f>IF(cnt_小原東部浄水!$Z$5=0,"",演算タグ!D54)</f>
        <v/>
      </c>
      <c r="E54" s="68" t="str">
        <f>IF(cnt_簗平!$Z$5=0,"",演算タグ!F54)</f>
        <v/>
      </c>
      <c r="F54" s="68" t="str">
        <f>IF(cnt_小原北部浄水!$Z$5=0,"",演算タグ!H54)</f>
        <v/>
      </c>
      <c r="G54" s="68" t="str">
        <f>IF(cnt_大ケ蔵連!$Z$5=0,"",演算タグ!J54)</f>
        <v/>
      </c>
      <c r="H54" s="68" t="str">
        <f>IF(cnt_小原西部浄水!$Z$5=0,"",演算タグ!L54)</f>
        <v/>
      </c>
      <c r="I54" s="193" t="str">
        <f>IF(cnt_喜佐平!$Z$5=0,"",演算タグ!N54)</f>
        <v/>
      </c>
      <c r="J54" s="68"/>
      <c r="K54" s="68"/>
      <c r="L54" s="68"/>
      <c r="M54" s="68"/>
      <c r="N54" s="68"/>
      <c r="O54" s="123"/>
      <c r="P54" s="67"/>
      <c r="Q54" s="68"/>
      <c r="R54" s="64" t="str">
        <f>IFERROR(VLOOKUP(R$9,#REF!,40,FALSE),"")</f>
        <v/>
      </c>
      <c r="S54" s="66" t="str">
        <f>IFERROR(VLOOKUP(S$9,#REF!,40,FALSE),"")</f>
        <v/>
      </c>
      <c r="T54" s="66" t="str">
        <f>IFERROR(VLOOKUP(T$9,#REF!,40,FALSE),"")</f>
        <v/>
      </c>
      <c r="U54" s="66" t="str">
        <f>IFERROR(VLOOKUP(U$9,#REF!,40,FALSE),"")</f>
        <v/>
      </c>
      <c r="V54" s="66" t="str">
        <f>IFERROR(VLOOKUP(V$9,#REF!,40,FALSE),"")</f>
        <v/>
      </c>
      <c r="W54" s="66" t="str">
        <f>IFERROR(VLOOKUP(W$9,#REF!,40,FALSE),"")</f>
        <v/>
      </c>
      <c r="X54" s="66" t="str">
        <f>IFERROR(VLOOKUP(X$9,#REF!,40,FALSE),"")</f>
        <v/>
      </c>
      <c r="Y54" s="66" t="str">
        <f>IFERROR(VLOOKUP(Y$9,#REF!,40,FALSE),"")</f>
        <v/>
      </c>
      <c r="Z54" s="66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IFERROR(VLOOKUP(ACN$9,#REF!,40,FALSE),"")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9" t="e">
        <f>#REF!</f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 t="str">
        <f>IF(cnt_小原東部浄水!$AW$5=0,"",演算タグ!D55)</f>
        <v/>
      </c>
      <c r="E55" s="66" t="str">
        <f>IF(cnt_簗平!$AW$5=0,"",演算タグ!F55)</f>
        <v/>
      </c>
      <c r="F55" s="66" t="str">
        <f>IF(cnt_小原北部浄水!$AW$5=0,"",演算タグ!H55)</f>
        <v/>
      </c>
      <c r="G55" s="66" t="str">
        <f>IF(cnt_大ケ蔵連!$AW$5=0,"",演算タグ!J55)</f>
        <v/>
      </c>
      <c r="H55" s="66" t="str">
        <f>IF(cnt_小原西部浄水!$AW$5=0,"",演算タグ!L55)</f>
        <v/>
      </c>
      <c r="I55" s="112" t="str">
        <f>IF(cnt_喜佐平!$AW$5=0,"",演算タグ!N55)</f>
        <v/>
      </c>
      <c r="J55" s="66"/>
      <c r="K55" s="66"/>
      <c r="L55" s="66"/>
      <c r="M55" s="66"/>
      <c r="N55" s="66"/>
      <c r="O55" s="152"/>
      <c r="P55" s="64"/>
      <c r="Q55" s="66"/>
      <c r="R55" s="64" t="str">
        <f>IFERROR(VLOOKUP(R$9,#REF!,71,FALSE),"")</f>
        <v/>
      </c>
      <c r="S55" s="66" t="str">
        <f>IFERROR(VLOOKUP(S$9,#REF!,71,FALSE),"")</f>
        <v/>
      </c>
      <c r="T55" s="66" t="str">
        <f>IFERROR(VLOOKUP(T$9,#REF!,71,FALSE),"")</f>
        <v/>
      </c>
      <c r="U55" s="66" t="str">
        <f>IFERROR(VLOOKUP(U$9,#REF!,71,FALSE),"")</f>
        <v/>
      </c>
      <c r="V55" s="66" t="str">
        <f>IFERROR(VLOOKUP(V$9,#REF!,71,FALSE),"")</f>
        <v/>
      </c>
      <c r="W55" s="66" t="str">
        <f>IFERROR(VLOOKUP(W$9,#REF!,71,FALSE),"")</f>
        <v/>
      </c>
      <c r="X55" s="66" t="str">
        <f>IFERROR(VLOOKUP(X$9,#REF!,71,FALSE),"")</f>
        <v/>
      </c>
      <c r="Y55" s="66" t="str">
        <f>IFERROR(VLOOKUP(Y$9,#REF!,71,FALSE),"")</f>
        <v/>
      </c>
      <c r="Z55" s="66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IFERROR(VLOOKUP(ACN$9,#REF!,71,FALSE),"")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9" t="e">
        <f>#REF!</f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tr">
        <f>IF(cnt_小原東部浄水!$AX$5=0,"",IF(演算タグ!D56&lt;0.02,"0.02未満",演算タグ!D56))</f>
        <v/>
      </c>
      <c r="E56" s="96" t="str">
        <f>IF(cnt_簗平!$AX$5=0,"",IF(演算タグ!F56&lt;0.02,"0.02未満",演算タグ!F56))</f>
        <v/>
      </c>
      <c r="F56" s="96" t="str">
        <f>IF(cnt_小原北部浄水!$AX$5=0,"",IF(演算タグ!H56&lt;0.02,"0.02未満",演算タグ!H56))</f>
        <v/>
      </c>
      <c r="G56" s="96" t="str">
        <f>IF(cnt_大ケ蔵連!$AX$5=0,"",IF(演算タグ!J56&lt;0.02,"0.02未満",演算タグ!J56))</f>
        <v/>
      </c>
      <c r="H56" s="96" t="str">
        <f>IF(cnt_小原西部浄水!$AX$5=0,"",IF(演算タグ!L56&lt;0.02,"0.02未満",演算タグ!L56))</f>
        <v/>
      </c>
      <c r="I56" s="199" t="str">
        <f>IF(cnt_喜佐平!$AX$5=0,"",IF(演算タグ!N56&lt;0.02,"0.02未満",演算タグ!N56))</f>
        <v/>
      </c>
      <c r="J56" s="96"/>
      <c r="K56" s="96"/>
      <c r="L56" s="96"/>
      <c r="M56" s="96"/>
      <c r="N56" s="96"/>
      <c r="O56" s="163"/>
      <c r="P56" s="95"/>
      <c r="Q56" s="96"/>
      <c r="R56" s="64" t="str">
        <f>IFERROR(VLOOKUP(R$9,#REF!,78,FALSE),"")</f>
        <v/>
      </c>
      <c r="S56" s="66" t="str">
        <f>IFERROR(VLOOKUP(S$9,#REF!,78,FALSE),"")</f>
        <v/>
      </c>
      <c r="T56" s="66" t="str">
        <f>IFERROR(VLOOKUP(T$9,#REF!,78,FALSE),"")</f>
        <v/>
      </c>
      <c r="U56" s="66" t="str">
        <f>IFERROR(VLOOKUP(U$9,#REF!,78,FALSE),"")</f>
        <v/>
      </c>
      <c r="V56" s="66" t="str">
        <f>IFERROR(VLOOKUP(V$9,#REF!,78,FALSE),"")</f>
        <v/>
      </c>
      <c r="W56" s="66" t="str">
        <f>IFERROR(VLOOKUP(W$9,#REF!,78,FALSE),"")</f>
        <v/>
      </c>
      <c r="X56" s="66" t="str">
        <f>IFERROR(VLOOKUP(X$9,#REF!,78,FALSE),"")</f>
        <v/>
      </c>
      <c r="Y56" s="66" t="str">
        <f>IFERROR(VLOOKUP(Y$9,#REF!,78,FALSE),"")</f>
        <v/>
      </c>
      <c r="Z56" s="66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IFERROR(VLOOKUP(ACN$9,#REF!,78,FALSE),"")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9" t="e">
        <f>#REF!</f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tr">
        <f>IF(cnt_小原東部浄水!$AZ$5=0,"",IF(演算タグ!E57&lt;0.000001,"0.000001未満",演算タグ!E57))</f>
        <v/>
      </c>
      <c r="E57" s="100" t="str">
        <f>IF(cnt_簗平!$AZ$5=0,"",IF(演算タグ!G57&lt;0.000001,"0.000001未満",演算タグ!G57))</f>
        <v/>
      </c>
      <c r="F57" s="100" t="str">
        <f>IF(cnt_小原北部浄水!$AZ$5=0,"",IF(演算タグ!I57&lt;0.000001,"0.000001未満",演算タグ!I57))</f>
        <v/>
      </c>
      <c r="G57" s="100" t="str">
        <f>IF(cnt_大ケ蔵連!$AZ$5=0,"",IF(演算タグ!K57&lt;0.000001,"0.000001未満",演算タグ!K57))</f>
        <v/>
      </c>
      <c r="H57" s="100" t="str">
        <f>IF(cnt_小原西部浄水!$AZ$5=0,"",IF(演算タグ!M57&lt;0.000001,"0.000001未満",演算タグ!M57))</f>
        <v/>
      </c>
      <c r="I57" s="200" t="str">
        <f>IF(cnt_喜佐平!$AZ$5=0,"",IF(演算タグ!O57&lt;0.000001,"0.000001未満",演算タグ!O57))</f>
        <v/>
      </c>
      <c r="J57" s="100"/>
      <c r="K57" s="100"/>
      <c r="L57" s="100"/>
      <c r="M57" s="100"/>
      <c r="N57" s="100"/>
      <c r="O57" s="164"/>
      <c r="P57" s="99"/>
      <c r="Q57" s="100"/>
      <c r="R57" s="64" t="str">
        <f>IFERROR(VLOOKUP(R$9,#REF!,80,FALSE),"")</f>
        <v/>
      </c>
      <c r="S57" s="66" t="str">
        <f>IFERROR(VLOOKUP(S$9,#REF!,80,FALSE),"")</f>
        <v/>
      </c>
      <c r="T57" s="66" t="str">
        <f>IFERROR(VLOOKUP(T$9,#REF!,80,FALSE),"")</f>
        <v/>
      </c>
      <c r="U57" s="66" t="str">
        <f>IFERROR(VLOOKUP(U$9,#REF!,80,FALSE),"")</f>
        <v/>
      </c>
      <c r="V57" s="66" t="str">
        <f>IFERROR(VLOOKUP(V$9,#REF!,80,FALSE),"")</f>
        <v/>
      </c>
      <c r="W57" s="66" t="str">
        <f>IFERROR(VLOOKUP(W$9,#REF!,80,FALSE),"")</f>
        <v/>
      </c>
      <c r="X57" s="66" t="str">
        <f>IFERROR(VLOOKUP(X$9,#REF!,80,FALSE),"")</f>
        <v/>
      </c>
      <c r="Y57" s="66" t="str">
        <f>IFERROR(VLOOKUP(Y$9,#REF!,80,FALSE),"")</f>
        <v/>
      </c>
      <c r="Z57" s="66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IFERROR(VLOOKUP(ACN$9,#REF!,80,FALSE),"")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9" t="e">
        <f>#REF!</f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tr">
        <f>IF(cnt_小原東部浄水!$AY$5=0,"",IF(演算タグ!E58&lt;0.000001,"0.000001未満",演算タグ!E58))</f>
        <v/>
      </c>
      <c r="E58" s="100" t="str">
        <f>IF(cnt_簗平!$AY$5=0,"",IF(演算タグ!G58&lt;0.000001,"0.000001未満",演算タグ!G58))</f>
        <v/>
      </c>
      <c r="F58" s="100" t="str">
        <f>IF(cnt_小原北部浄水!$AY$5=0,"",IF(演算タグ!I58&lt;0.000001,"0.000001未満",演算タグ!I58))</f>
        <v/>
      </c>
      <c r="G58" s="100" t="str">
        <f>IF(cnt_大ケ蔵連!$AY$5=0,"",IF(演算タグ!K58&lt;0.000001,"0.000001未満",演算タグ!K58))</f>
        <v/>
      </c>
      <c r="H58" s="100" t="str">
        <f>IF(cnt_小原西部浄水!$AY$5=0,"",IF(演算タグ!M58&lt;0.000001,"0.000001未満",演算タグ!M58))</f>
        <v/>
      </c>
      <c r="I58" s="200" t="str">
        <f>IF(cnt_喜佐平!$AY$5=0,"",IF(演算タグ!O58&lt;0.000001,"0.000001未満",演算タグ!O58))</f>
        <v/>
      </c>
      <c r="J58" s="100"/>
      <c r="K58" s="100"/>
      <c r="L58" s="100"/>
      <c r="M58" s="100"/>
      <c r="N58" s="100"/>
      <c r="O58" s="164"/>
      <c r="P58" s="99"/>
      <c r="Q58" s="100"/>
      <c r="R58" s="64" t="str">
        <f>IFERROR(VLOOKUP(R$9,#REF!,81,FALSE),"")</f>
        <v/>
      </c>
      <c r="S58" s="66" t="str">
        <f>IFERROR(VLOOKUP(S$9,#REF!,81,FALSE),"")</f>
        <v/>
      </c>
      <c r="T58" s="66" t="str">
        <f>IFERROR(VLOOKUP(T$9,#REF!,81,FALSE),"")</f>
        <v/>
      </c>
      <c r="U58" s="66" t="str">
        <f>IFERROR(VLOOKUP(U$9,#REF!,81,FALSE),"")</f>
        <v/>
      </c>
      <c r="V58" s="66" t="str">
        <f>IFERROR(VLOOKUP(V$9,#REF!,81,FALSE),"")</f>
        <v/>
      </c>
      <c r="W58" s="66" t="str">
        <f>IFERROR(VLOOKUP(W$9,#REF!,81,FALSE),"")</f>
        <v/>
      </c>
      <c r="X58" s="66" t="str">
        <f>IFERROR(VLOOKUP(X$9,#REF!,81,FALSE),"")</f>
        <v/>
      </c>
      <c r="Y58" s="66" t="str">
        <f>IFERROR(VLOOKUP(Y$9,#REF!,81,FALSE),"")</f>
        <v/>
      </c>
      <c r="Z58" s="66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IFERROR(VLOOKUP(ACN$9,#REF!,81,FALSE),"")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9" t="e">
        <f>#REF!</f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tr">
        <f>IF(cnt_小原東部浄水!$BA$5=0,"",IF(演算タグ!D59&lt;0.002,"0.002未満",演算タグ!D59))</f>
        <v/>
      </c>
      <c r="E59" s="94" t="str">
        <f>IF(cnt_簗平!$BA$5=0,"",IF(演算タグ!F59&lt;0.002,"0.002未満",演算タグ!F59))</f>
        <v/>
      </c>
      <c r="F59" s="94" t="str">
        <f>IF(cnt_小原北部浄水!$BA$5=0,"",IF(演算タグ!H59&lt;0.002,"0.002未満",演算タグ!H59))</f>
        <v/>
      </c>
      <c r="G59" s="94" t="str">
        <f>IF(cnt_大ケ蔵連!$BA$5=0,"",IF(演算タグ!J59&lt;0.002,"0.002未満",演算タグ!J59))</f>
        <v/>
      </c>
      <c r="H59" s="94" t="str">
        <f>IF(cnt_小原西部浄水!$BA$5=0,"",IF(演算タグ!L59&lt;0.002,"0.002未満",演算タグ!L59))</f>
        <v/>
      </c>
      <c r="I59" s="198" t="str">
        <f>IF(cnt_喜佐平!$BA$5=0,"",IF(演算タグ!N59&lt;0.002,"0.002未満",演算タグ!N59))</f>
        <v/>
      </c>
      <c r="J59" s="94"/>
      <c r="K59" s="94"/>
      <c r="L59" s="94"/>
      <c r="M59" s="94"/>
      <c r="N59" s="94"/>
      <c r="O59" s="162"/>
      <c r="P59" s="93"/>
      <c r="Q59" s="94"/>
      <c r="R59" s="64" t="str">
        <f>IFERROR(VLOOKUP(R$9,#REF!,84,FALSE),"")</f>
        <v/>
      </c>
      <c r="S59" s="66" t="str">
        <f>IFERROR(VLOOKUP(S$9,#REF!,84,FALSE),"")</f>
        <v/>
      </c>
      <c r="T59" s="66" t="str">
        <f>IFERROR(VLOOKUP(T$9,#REF!,84,FALSE),"")</f>
        <v/>
      </c>
      <c r="U59" s="66" t="str">
        <f>IFERROR(VLOOKUP(U$9,#REF!,84,FALSE),"")</f>
        <v/>
      </c>
      <c r="V59" s="66" t="str">
        <f>IFERROR(VLOOKUP(V$9,#REF!,84,FALSE),"")</f>
        <v/>
      </c>
      <c r="W59" s="66" t="str">
        <f>IFERROR(VLOOKUP(W$9,#REF!,84,FALSE),"")</f>
        <v/>
      </c>
      <c r="X59" s="66" t="str">
        <f>IFERROR(VLOOKUP(X$9,#REF!,84,FALSE),"")</f>
        <v/>
      </c>
      <c r="Y59" s="66" t="str">
        <f>IFERROR(VLOOKUP(Y$9,#REF!,84,FALSE),"")</f>
        <v/>
      </c>
      <c r="Z59" s="66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IFERROR(VLOOKUP(ACN$9,#REF!,84,FALSE),"")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9" t="e">
        <f>#REF!</f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tr">
        <f>IF(cnt_小原東部浄水!$BB$5=0,"",IF(演算タグ!E60&lt;0.0005,"0.0005未満",演算タグ!E60))</f>
        <v/>
      </c>
      <c r="E60" s="90" t="str">
        <f>IF(cnt_簗平!$BB$5=0,"",IF(演算タグ!G60&lt;0.0005,"0.0005未満",演算タグ!G60))</f>
        <v/>
      </c>
      <c r="F60" s="90" t="str">
        <f>IF(cnt_小原北部浄水!$BB$5=0,"",IF(演算タグ!I60&lt;0.0005,"0.0005未満",演算タグ!I60))</f>
        <v/>
      </c>
      <c r="G60" s="90" t="str">
        <f>IF(cnt_大ケ蔵連!$BB$5=0,"",IF(演算タグ!K60&lt;0.0005,"0.0005未満",演算タグ!K60))</f>
        <v/>
      </c>
      <c r="H60" s="90" t="str">
        <f>IF(cnt_小原西部浄水!$BB$5=0,"",IF(演算タグ!M60&lt;0.0005,"0.0005未満",演算タグ!M60))</f>
        <v/>
      </c>
      <c r="I60" s="196" t="str">
        <f>IF(cnt_喜佐平!$BB$5=0,"",IF(演算タグ!O60&lt;0.0005,"0.0005未満",演算タグ!O60))</f>
        <v/>
      </c>
      <c r="J60" s="90"/>
      <c r="K60" s="90"/>
      <c r="L60" s="90"/>
      <c r="M60" s="90"/>
      <c r="N60" s="90"/>
      <c r="O60" s="160"/>
      <c r="P60" s="89"/>
      <c r="Q60" s="90"/>
      <c r="R60" s="64" t="str">
        <f>IFERROR(VLOOKUP(R$9,#REF!,93,FALSE),"")</f>
        <v/>
      </c>
      <c r="S60" s="66" t="str">
        <f>IFERROR(VLOOKUP(S$9,#REF!,93,FALSE),"")</f>
        <v/>
      </c>
      <c r="T60" s="66" t="str">
        <f>IFERROR(VLOOKUP(T$9,#REF!,93,FALSE),"")</f>
        <v/>
      </c>
      <c r="U60" s="66" t="str">
        <f>IFERROR(VLOOKUP(U$9,#REF!,93,FALSE),"")</f>
        <v/>
      </c>
      <c r="V60" s="66" t="str">
        <f>IFERROR(VLOOKUP(V$9,#REF!,93,FALSE),"")</f>
        <v/>
      </c>
      <c r="W60" s="66" t="str">
        <f>IFERROR(VLOOKUP(W$9,#REF!,93,FALSE),"")</f>
        <v/>
      </c>
      <c r="X60" s="66" t="str">
        <f>IFERROR(VLOOKUP(X$9,#REF!,93,FALSE),"")</f>
        <v/>
      </c>
      <c r="Y60" s="66" t="str">
        <f>IFERROR(VLOOKUP(Y$9,#REF!,93,FALSE),"")</f>
        <v/>
      </c>
      <c r="Z60" s="66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IFERROR(VLOOKUP(ACN$9,#REF!,93,FALSE),"")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9" t="e">
        <f>#REF!</f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f>IF(cnt_小原東部浄水!$BC$5=0,"",IF(演算タグ!D61&lt;0.2,"0.2未満",演算タグ!D61))</f>
        <v>0.4</v>
      </c>
      <c r="E61" s="68">
        <f>IF(cnt_簗平!$BC$5=0,"",IF(演算タグ!F61&lt;0.2,"0.2未満",演算タグ!F61))</f>
        <v>0.4</v>
      </c>
      <c r="F61" s="68">
        <f>IF(cnt_小原北部浄水!$BC$5=0,"",IF(演算タグ!H61&lt;0.2,"0.2未満",演算タグ!H61))</f>
        <v>0.7</v>
      </c>
      <c r="G61" s="68">
        <f>IF(cnt_大ケ蔵連!$BC$5=0,"",IF(演算タグ!J61&lt;0.2,"0.2未満",演算タグ!J61))</f>
        <v>0.7</v>
      </c>
      <c r="H61" s="68">
        <f>IF(cnt_小原西部浄水!$BC$5=0,"",IF(演算タグ!L61&lt;0.2,"0.2未満",演算タグ!L61))</f>
        <v>0.5</v>
      </c>
      <c r="I61" s="193">
        <f>IF(cnt_喜佐平!$BC$5=0,"",IF(演算タグ!N61&lt;0.2,"0.2未満",演算タグ!N61))</f>
        <v>0.4</v>
      </c>
      <c r="J61" s="68"/>
      <c r="K61" s="68"/>
      <c r="L61" s="68"/>
      <c r="M61" s="68"/>
      <c r="N61" s="68"/>
      <c r="O61" s="123"/>
      <c r="P61" s="67"/>
      <c r="Q61" s="68"/>
      <c r="R61" s="64" t="str">
        <f>IFERROR(VLOOKUP(R$9,#REF!,95,FALSE),"")</f>
        <v/>
      </c>
      <c r="S61" s="66" t="str">
        <f>IFERROR(VLOOKUP(S$9,#REF!,95,FALSE),"")</f>
        <v/>
      </c>
      <c r="T61" s="66" t="str">
        <f>IFERROR(VLOOKUP(T$9,#REF!,95,FALSE),"")</f>
        <v/>
      </c>
      <c r="U61" s="66" t="str">
        <f>IFERROR(VLOOKUP(U$9,#REF!,95,FALSE),"")</f>
        <v/>
      </c>
      <c r="V61" s="66" t="str">
        <f>IFERROR(VLOOKUP(V$9,#REF!,95,FALSE),"")</f>
        <v/>
      </c>
      <c r="W61" s="66" t="str">
        <f>IFERROR(VLOOKUP(W$9,#REF!,95,FALSE),"")</f>
        <v/>
      </c>
      <c r="X61" s="66" t="str">
        <f>IFERROR(VLOOKUP(X$9,#REF!,95,FALSE),"")</f>
        <v/>
      </c>
      <c r="Y61" s="66" t="str">
        <f>IFERROR(VLOOKUP(Y$9,#REF!,95,FALSE),"")</f>
        <v/>
      </c>
      <c r="Z61" s="66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IFERROR(VLOOKUP(ACN$9,#REF!,95,FALSE),"")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9" t="e">
        <f>#REF!</f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f>IF(cnt_小原東部浄水!$BF$5=0,"",演算タグ!D62)</f>
        <v>7.2</v>
      </c>
      <c r="E62" s="68">
        <f>IF(cnt_簗平!$BF$5=0,"",演算タグ!F62)</f>
        <v>7.3</v>
      </c>
      <c r="F62" s="68">
        <f>IF(cnt_小原北部浄水!$BF$5=0,"",演算タグ!H62)</f>
        <v>7.3</v>
      </c>
      <c r="G62" s="68">
        <f>IF(cnt_大ケ蔵連!$BF$5=0,"",演算タグ!J62)</f>
        <v>7.5</v>
      </c>
      <c r="H62" s="68">
        <f>IF(cnt_小原西部浄水!$BF$5=0,"",演算タグ!L62)</f>
        <v>7.3</v>
      </c>
      <c r="I62" s="193">
        <f>IF(cnt_喜佐平!$BF$5=0,"",演算タグ!N62)</f>
        <v>7.3</v>
      </c>
      <c r="J62" s="68"/>
      <c r="K62" s="68"/>
      <c r="L62" s="68"/>
      <c r="M62" s="68"/>
      <c r="N62" s="68"/>
      <c r="O62" s="123"/>
      <c r="P62" s="67"/>
      <c r="Q62" s="68"/>
      <c r="R62" s="64" t="str">
        <f>IFERROR(VLOOKUP(R$9,#REF!,99,FALSE),"")</f>
        <v/>
      </c>
      <c r="S62" s="66" t="str">
        <f>IFERROR(VLOOKUP(S$9,#REF!,99,FALSE),"")</f>
        <v/>
      </c>
      <c r="T62" s="66" t="str">
        <f>IFERROR(VLOOKUP(T$9,#REF!,99,FALSE),"")</f>
        <v/>
      </c>
      <c r="U62" s="66" t="str">
        <f>IFERROR(VLOOKUP(U$9,#REF!,99,FALSE),"")</f>
        <v/>
      </c>
      <c r="V62" s="66" t="str">
        <f>IFERROR(VLOOKUP(V$9,#REF!,99,FALSE),"")</f>
        <v/>
      </c>
      <c r="W62" s="66" t="str">
        <f>IFERROR(VLOOKUP(W$9,#REF!,99,FALSE),"")</f>
        <v/>
      </c>
      <c r="X62" s="66" t="str">
        <f>IFERROR(VLOOKUP(X$9,#REF!,99,FALSE),"")</f>
        <v/>
      </c>
      <c r="Y62" s="66" t="str">
        <f>IFERROR(VLOOKUP(Y$9,#REF!,99,FALSE),"")</f>
        <v/>
      </c>
      <c r="Z62" s="66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IFERROR(VLOOKUP(ACN$9,#REF!,99,FALSE),"")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9" t="e">
        <f>#REF!</f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tr">
        <f>IF(OR(cnt_小原東部浄水!$BH$5=0,演算タグ!D63=""),"",IF(演算タグ!D63=1,"異常なし","異常あり"))</f>
        <v>異常なし</v>
      </c>
      <c r="E63" s="66" t="str">
        <f>IF(OR(cnt_簗平!$BH$5=0,演算タグ!F63=""),"",IF(演算タグ!F63=1,"異常なし","異常あり"))</f>
        <v>異常なし</v>
      </c>
      <c r="F63" s="66" t="str">
        <f>IF(OR(cnt_小原北部浄水!$BH$5=0,演算タグ!H63=""),"",IF(演算タグ!H63=1,"異常なし","異常あり"))</f>
        <v>異常なし</v>
      </c>
      <c r="G63" s="66" t="str">
        <f>IF(OR(cnt_大ケ蔵連!$BH$5=0,演算タグ!J63=""),"",IF(演算タグ!J63=1,"異常なし","異常あり"))</f>
        <v>異常なし</v>
      </c>
      <c r="H63" s="66" t="str">
        <f>IF(OR(cnt_小原西部浄水!$BH$5=0,演算タグ!L63=""),"",IF(演算タグ!L63=1,"異常なし","異常あり"))</f>
        <v>異常なし</v>
      </c>
      <c r="I63" s="112" t="str">
        <f>IF(OR(cnt_喜佐平!$BH$5=0,演算タグ!N63=""),"",IF(演算タグ!N63=1,"異常なし","異常あり"))</f>
        <v>異常なし</v>
      </c>
      <c r="J63" s="66"/>
      <c r="K63" s="66"/>
      <c r="L63" s="66"/>
      <c r="M63" s="66"/>
      <c r="N63" s="66"/>
      <c r="O63" s="152"/>
      <c r="P63" s="64"/>
      <c r="Q63" s="66"/>
      <c r="R63" s="64" t="str">
        <f>IFERROR(VLOOKUP(R$9,#REF!,101,FALSE),"")</f>
        <v/>
      </c>
      <c r="S63" s="66" t="str">
        <f>IFERROR(VLOOKUP(S$9,#REF!,101,FALSE),"")</f>
        <v/>
      </c>
      <c r="T63" s="66" t="str">
        <f>IFERROR(VLOOKUP(T$9,#REF!,101,FALSE),"")</f>
        <v/>
      </c>
      <c r="U63" s="66" t="str">
        <f>IFERROR(VLOOKUP(U$9,#REF!,101,FALSE),"")</f>
        <v/>
      </c>
      <c r="V63" s="66" t="str">
        <f>IFERROR(VLOOKUP(V$9,#REF!,101,FALSE),"")</f>
        <v/>
      </c>
      <c r="W63" s="66" t="str">
        <f>IFERROR(VLOOKUP(W$9,#REF!,101,FALSE),"")</f>
        <v/>
      </c>
      <c r="X63" s="66" t="str">
        <f>IFERROR(VLOOKUP(X$9,#REF!,101,FALSE),"")</f>
        <v/>
      </c>
      <c r="Y63" s="66" t="str">
        <f>IFERROR(VLOOKUP(Y$9,#REF!,101,FALSE),"")</f>
        <v/>
      </c>
      <c r="Z63" s="66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IFERROR(VLOOKUP(ACN$9,#REF!,101,FALSE),"")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tr">
        <f>IF(OR(cnt_小原東部浄水!$BG$5=0,演算タグ!D64=""),"",VLOOKUP(演算タグ!D64,変換!$F$1:$G$13,2,FALSE))</f>
        <v>異常なし</v>
      </c>
      <c r="E64" s="66" t="str">
        <f>IF(OR(cnt_簗平!$BG$5=0,演算タグ!F64=""),"",VLOOKUP(演算タグ!F64,変換!$F$1:$G$13,2,FALSE))</f>
        <v>異常なし</v>
      </c>
      <c r="F64" s="66" t="str">
        <f>IF(OR(cnt_小原北部浄水!$BG$5=0,演算タグ!H64=""),"",VLOOKUP(演算タグ!H64,変換!$F$1:$G$13,2,FALSE))</f>
        <v>異常なし</v>
      </c>
      <c r="G64" s="66" t="str">
        <f>IF(OR(cnt_大ケ蔵連!$BG$5=0,演算タグ!J64=""),"",VLOOKUP(演算タグ!J64,変換!$F$1:$G$13,2,FALSE))</f>
        <v>異常なし</v>
      </c>
      <c r="H64" s="66" t="str">
        <f>IF(OR(cnt_小原西部浄水!$BG$5=0,演算タグ!L64=""),"",VLOOKUP(演算タグ!L64,変換!$F$1:$G$13,2,FALSE))</f>
        <v>異常なし</v>
      </c>
      <c r="I64" s="112" t="str">
        <f>IF(OR(cnt_喜佐平!$BG$5=0,演算タグ!N64=""),"",VLOOKUP(演算タグ!N64,変換!$F$1:$G$13,2,FALSE))</f>
        <v>異常なし</v>
      </c>
      <c r="J64" s="66"/>
      <c r="K64" s="66"/>
      <c r="L64" s="66"/>
      <c r="M64" s="66"/>
      <c r="N64" s="66"/>
      <c r="O64" s="152"/>
      <c r="P64" s="64"/>
      <c r="Q64" s="66"/>
      <c r="R64" s="64" t="str">
        <f>IFERROR(VLOOKUP(R$9,#REF!,100,FALSE),"")</f>
        <v/>
      </c>
      <c r="S64" s="66" t="str">
        <f>IFERROR(VLOOKUP(S$9,#REF!,100,FALSE),"")</f>
        <v/>
      </c>
      <c r="T64" s="66" t="str">
        <f>IFERROR(VLOOKUP(T$9,#REF!,100,FALSE),"")</f>
        <v/>
      </c>
      <c r="U64" s="66" t="str">
        <f>IFERROR(VLOOKUP(U$9,#REF!,100,FALSE),"")</f>
        <v/>
      </c>
      <c r="V64" s="66" t="str">
        <f>IFERROR(VLOOKUP(V$9,#REF!,100,FALSE),"")</f>
        <v/>
      </c>
      <c r="W64" s="66" t="str">
        <f>IFERROR(VLOOKUP(W$9,#REF!,100,FALSE),"")</f>
        <v/>
      </c>
      <c r="X64" s="66" t="str">
        <f>IFERROR(VLOOKUP(X$9,#REF!,100,FALSE),"")</f>
        <v/>
      </c>
      <c r="Y64" s="66" t="str">
        <f>IFERROR(VLOOKUP(Y$9,#REF!,100,FALSE),"")</f>
        <v/>
      </c>
      <c r="Z64" s="66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IFERROR(VLOOKUP(ACN$9,#REF!,100,FALSE),"")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>
        <f>IF(cnt_小原東部浄水!$BD$5=0,"",IF(演算タグ!D65&lt;0.5,"0.5未満",演算タグ!D65))</f>
        <v>0.5</v>
      </c>
      <c r="E65" s="68" t="str">
        <f>IF(cnt_簗平!$BD$5=0,"",IF(演算タグ!F65&lt;0.5,"0.5未満",演算タグ!F65))</f>
        <v>0.5未満</v>
      </c>
      <c r="F65" s="68">
        <f>IF(cnt_小原北部浄水!$BD$5=0,"",IF(演算タグ!H65&lt;0.5,"0.5未満",演算タグ!H65))</f>
        <v>1.1000000000000001</v>
      </c>
      <c r="G65" s="68">
        <f>IF(cnt_大ケ蔵連!$BD$5=0,"",IF(演算タグ!J65&lt;0.5,"0.5未満",演算タグ!J65))</f>
        <v>1</v>
      </c>
      <c r="H65" s="68">
        <f>IF(cnt_小原西部浄水!$BD$5=0,"",IF(演算タグ!L65&lt;0.5,"0.5未満",演算タグ!L65))</f>
        <v>0.7</v>
      </c>
      <c r="I65" s="193" t="str">
        <f>IF(cnt_喜佐平!$BD$5=0,"",IF(演算タグ!N65&lt;0.5,"0.5未満",演算タグ!N65))</f>
        <v>0.5未満</v>
      </c>
      <c r="J65" s="68"/>
      <c r="K65" s="68"/>
      <c r="L65" s="68"/>
      <c r="M65" s="68"/>
      <c r="N65" s="68"/>
      <c r="O65" s="123"/>
      <c r="P65" s="67"/>
      <c r="Q65" s="68"/>
      <c r="R65" s="64" t="str">
        <f>IFERROR(VLOOKUP(R$9,#REF!,97,FALSE),"")</f>
        <v/>
      </c>
      <c r="S65" s="66" t="str">
        <f>IFERROR(VLOOKUP(S$9,#REF!,97,FALSE),"")</f>
        <v/>
      </c>
      <c r="T65" s="66" t="str">
        <f>IFERROR(VLOOKUP(T$9,#REF!,97,FALSE),"")</f>
        <v/>
      </c>
      <c r="U65" s="66" t="str">
        <f>IFERROR(VLOOKUP(U$9,#REF!,97,FALSE),"")</f>
        <v/>
      </c>
      <c r="V65" s="66" t="str">
        <f>IFERROR(VLOOKUP(V$9,#REF!,97,FALSE),"")</f>
        <v/>
      </c>
      <c r="W65" s="66" t="str">
        <f>IFERROR(VLOOKUP(W$9,#REF!,97,FALSE),"")</f>
        <v/>
      </c>
      <c r="X65" s="66" t="str">
        <f>IFERROR(VLOOKUP(X$9,#REF!,97,FALSE),"")</f>
        <v/>
      </c>
      <c r="Y65" s="66" t="str">
        <f>IFERROR(VLOOKUP(Y$9,#REF!,97,FALSE),"")</f>
        <v/>
      </c>
      <c r="Z65" s="66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IFERROR(VLOOKUP(ACN$9,#REF!,97,FALSE),"")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9" t="e">
        <f>#REF!</f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tr">
        <f>IF(cnt_小原東部浄水!$BE$5=0,"",IF(演算タグ!D66&lt;0.1,"0.1未満",演算タグ!D66))</f>
        <v>0.1未満</v>
      </c>
      <c r="E66" s="107" t="str">
        <f>IF(cnt_簗平!$BE$5=0,"",IF(演算タグ!F66&lt;0.1,"0.1未満",演算タグ!F66))</f>
        <v>0.1未満</v>
      </c>
      <c r="F66" s="107" t="str">
        <f>IF(cnt_小原北部浄水!$BE$5=0,"",IF(演算タグ!H66&lt;0.1,"0.1未満",演算タグ!H66))</f>
        <v>0.1未満</v>
      </c>
      <c r="G66" s="107" t="str">
        <f>IF(cnt_大ケ蔵連!$BE$5=0,"",IF(演算タグ!J66&lt;0.1,"0.1未満",演算タグ!J66))</f>
        <v>0.1未満</v>
      </c>
      <c r="H66" s="107" t="str">
        <f>IF(cnt_小原西部浄水!$BE$5=0,"",IF(演算タグ!L66&lt;0.1,"0.1未満",演算タグ!L66))</f>
        <v>0.1未満</v>
      </c>
      <c r="I66" s="201" t="str">
        <f>IF(cnt_喜佐平!$BE$5=0,"",IF(演算タグ!N66&lt;0.1,"0.1未満",演算タグ!N66))</f>
        <v>0.1未満</v>
      </c>
      <c r="J66" s="107"/>
      <c r="K66" s="107"/>
      <c r="L66" s="107"/>
      <c r="M66" s="107"/>
      <c r="N66" s="107"/>
      <c r="O66" s="165"/>
      <c r="P66" s="106"/>
      <c r="Q66" s="107"/>
      <c r="R66" s="64" t="str">
        <f>IFERROR(VLOOKUP(R$9,#REF!,98,FALSE),"")</f>
        <v/>
      </c>
      <c r="S66" s="66" t="str">
        <f>IFERROR(VLOOKUP(S$9,#REF!,98,FALSE),"")</f>
        <v/>
      </c>
      <c r="T66" s="66" t="str">
        <f>IFERROR(VLOOKUP(T$9,#REF!,98,FALSE),"")</f>
        <v/>
      </c>
      <c r="U66" s="66" t="str">
        <f>IFERROR(VLOOKUP(U$9,#REF!,98,FALSE),"")</f>
        <v/>
      </c>
      <c r="V66" s="66" t="str">
        <f>IFERROR(VLOOKUP(V$9,#REF!,98,FALSE),"")</f>
        <v/>
      </c>
      <c r="W66" s="66" t="str">
        <f>IFERROR(VLOOKUP(W$9,#REF!,98,FALSE),"")</f>
        <v/>
      </c>
      <c r="X66" s="66" t="str">
        <f>IFERROR(VLOOKUP(X$9,#REF!,98,FALSE),"")</f>
        <v/>
      </c>
      <c r="Y66" s="66" t="str">
        <f>IFERROR(VLOOKUP(Y$9,#REF!,98,FALSE),"")</f>
        <v/>
      </c>
      <c r="Z66" s="66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IFERROR(VLOOKUP(ACN$9,#REF!,98,FALSE),"")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9" t="e">
        <f>#REF!</f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34">
        <f>EDATE(演算タグ!B1,-3)</f>
        <v>45170</v>
      </c>
      <c r="B68" s="234"/>
      <c r="C68" s="235">
        <f>演算タグ!B1</f>
        <v>45261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tr">
        <f>IF(cnt_小原東部浄水!$O$5=0,"",IF(演算タグ!E70&lt;0.001,"0.001未満",演算タグ!E70))</f>
        <v/>
      </c>
      <c r="E70" s="94" t="str">
        <f>IF(cnt_簗平!$O$5=0,"",IF(演算タグ!G70&lt;0.001,"0.001未満",演算タグ!G70))</f>
        <v/>
      </c>
      <c r="F70" s="94" t="str">
        <f>IF(cnt_小原北部浄水!$O$5=0,"",IF(演算タグ!I70&lt;0.001,"0.001未満",演算タグ!I70))</f>
        <v/>
      </c>
      <c r="G70" s="94" t="str">
        <f>IF(cnt_大ケ蔵連!$O$5=0,"",IF(演算タグ!K70&lt;0.001,"0.001未満",演算タグ!K70))</f>
        <v/>
      </c>
      <c r="H70" s="94" t="str">
        <f>IF(cnt_小原西部浄水!$O$5=0,"",IF(演算タグ!M70&lt;0.001,"0.001未満",演算タグ!M70))</f>
        <v/>
      </c>
      <c r="I70" s="198" t="str">
        <f>IF(cnt_喜佐平!$O$5=0,"",IF(演算タグ!O70&lt;0.001,"0.001未満",演算タグ!O70))</f>
        <v/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tr">
        <f>IF(cnt_小原東部浄水!$P$5=0,"",IF(演算タグ!E71&lt;0.0002,"0.0002未満",演算タグ!E71))</f>
        <v/>
      </c>
      <c r="E71" s="90" t="str">
        <f>IF(cnt_簗平!$P$5=0,"",IF(演算タグ!G71&lt;0.0002,"0.0002未満",演算タグ!G71))</f>
        <v/>
      </c>
      <c r="F71" s="90" t="str">
        <f>IF(cnt_小原北部浄水!$P$5=0,"",IF(演算タグ!I71&lt;0.0002,"0.0002未満",演算タグ!I71))</f>
        <v/>
      </c>
      <c r="G71" s="90" t="str">
        <f>IF(cnt_大ケ蔵連!$P$5=0,"",IF(演算タグ!K71&lt;0.0002,"0.0002未満",演算タグ!K71))</f>
        <v/>
      </c>
      <c r="H71" s="90" t="str">
        <f>IF(cnt_小原西部浄水!$P$5=0,"",IF(演算タグ!M71&lt;0.0002,"0.0002未満",演算タグ!M71))</f>
        <v/>
      </c>
      <c r="I71" s="196" t="str">
        <f>IF(cnt_喜佐平!$P$5=0,"",IF(演算タグ!O71&lt;0.0002,"0.0002未満",演算タグ!O71))</f>
        <v/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tr">
        <f>IF(cnt_小原東部浄水!$Q$5=0,"",IF(演算タグ!E72&lt;0.001,"0.001未満",演算タグ!E72))</f>
        <v/>
      </c>
      <c r="E72" s="94" t="str">
        <f>IF(cnt_簗平!$Q$5=0,"",IF(演算タグ!G72&lt;0.001,"0.001未満",演算タグ!G72))</f>
        <v/>
      </c>
      <c r="F72" s="94" t="str">
        <f>IF(cnt_小原北部浄水!$Q$5=0,"",IF(演算タグ!I72&lt;0.001,"0.001未満",演算タグ!I72))</f>
        <v/>
      </c>
      <c r="G72" s="94" t="str">
        <f>IF(cnt_大ケ蔵連!$Q$5=0,"",IF(演算タグ!K72&lt;0.001,"0.001未満",演算タグ!K72))</f>
        <v/>
      </c>
      <c r="H72" s="94" t="str">
        <f>IF(cnt_小原西部浄水!$Q$5=0,"",IF(演算タグ!M72&lt;0.001,"0.001未満",演算タグ!M72))</f>
        <v/>
      </c>
      <c r="I72" s="198" t="str">
        <f>IF(cnt_喜佐平!$Q$5=0,"",IF(演算タグ!O72&lt;0.001,"0.001未満",演算タグ!O72))</f>
        <v/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tr">
        <f>IF(cnt_小原東部浄水!$AM$5=0,"",IF(演算タグ!E73&lt;0.0002,"0.0002未満",演算タグ!E73))</f>
        <v>0.0002未満</v>
      </c>
      <c r="E73" s="90" t="str">
        <f>IF(cnt_簗平!$AM$5=0,"",IF(演算タグ!G73&lt;0.0002,"0.0002未満",演算タグ!G73))</f>
        <v>0.0002未満</v>
      </c>
      <c r="F73" s="90" t="str">
        <f>IF(cnt_小原北部浄水!$AM$5=0,"",IF(演算タグ!I73&lt;0.0002,"0.0002未満",演算タグ!I73))</f>
        <v>0.0002未満</v>
      </c>
      <c r="G73" s="90" t="str">
        <f>IF(cnt_大ケ蔵連!$AM$5=0,"",IF(演算タグ!K73&lt;0.0002,"0.0002未満",演算タグ!K73))</f>
        <v>0.0002未満</v>
      </c>
      <c r="H73" s="90" t="str">
        <f>IF(cnt_小原西部浄水!$AM$5=0,"",IF(演算タグ!M73&lt;0.0002,"0.0002未満",演算タグ!M73))</f>
        <v>0.0002未満</v>
      </c>
      <c r="I73" s="196" t="str">
        <f>IF(cnt_喜佐平!$AM$5=0,"",IF(演算タグ!O73&lt;0.0002,"0.0002未満",演算タグ!O73))</f>
        <v>0.0002未満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tr">
        <f>IF(cnt_小原東部浄水!$AN$5=0,"",IF(演算タグ!E74&lt;0.001,"0.001未満",演算タグ!E74))</f>
        <v>0.001未満</v>
      </c>
      <c r="E74" s="94" t="str">
        <f>IF(cnt_簗平!$AN$5=0,"",IF(演算タグ!G74&lt;0.001,"0.001未満",演算タグ!G74))</f>
        <v>0.001未満</v>
      </c>
      <c r="F74" s="94" t="str">
        <f>IF(cnt_小原北部浄水!$AN$5=0,"",IF(演算タグ!I74&lt;0.001,"0.001未満",演算タグ!I74))</f>
        <v>0.001未満</v>
      </c>
      <c r="G74" s="94" t="str">
        <f>IF(cnt_大ケ蔵連!$AN$5=0,"",IF(演算タグ!K74&lt;0.001,"0.001未満",演算タグ!K74))</f>
        <v>0.001未満</v>
      </c>
      <c r="H74" s="94" t="str">
        <f>IF(cnt_小原西部浄水!$AN$5=0,"",IF(演算タグ!M74&lt;0.001,"0.001未満",演算タグ!M74))</f>
        <v>0.001未満</v>
      </c>
      <c r="I74" s="198" t="str">
        <f>IF(cnt_喜佐平!$AN$5=0,"",IF(演算タグ!O74&lt;0.001,"0.001未満",演算タグ!O74))</f>
        <v>0.001未満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tr">
        <f>IF(cnt_小原東部浄水!$BI$5=0,"",IF(演算タグ!E75&lt;0.008,"0.008未満",演算タグ!E75))</f>
        <v>0.008未満</v>
      </c>
      <c r="E75" s="94" t="str">
        <f>IF(cnt_簗平!$BI$5=0,"",IF(演算タグ!G75&lt;0.008,"0.008未満",演算タグ!G75))</f>
        <v>0.008未満</v>
      </c>
      <c r="F75" s="94" t="str">
        <f>IF(cnt_小原北部浄水!$BI$5=0,"",IF(演算タグ!I75&lt;0.008,"0.008未満",演算タグ!I75))</f>
        <v>0.008未満</v>
      </c>
      <c r="G75" s="94" t="str">
        <f>IF(cnt_大ケ蔵連!$BI$5=0,"",IF(演算タグ!K75&lt;0.008,"0.008未満",演算タグ!K75))</f>
        <v>0.008未満</v>
      </c>
      <c r="H75" s="94" t="str">
        <f>IF(cnt_小原西部浄水!$BI$5=0,"",IF(演算タグ!M75&lt;0.008,"0.008未満",演算タグ!M75))</f>
        <v>0.008未満</v>
      </c>
      <c r="I75" s="198" t="str">
        <f>IF(cnt_喜佐平!$BI$5=0,"",IF(演算タグ!O75&lt;0.008,"0.008未満",演算タグ!O75))</f>
        <v>0.008未満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tr">
        <f>IF(cnt_小原東部浄水!$BJ$5=0,"",IF(演算タグ!D78&lt;0.001,"0.001未満",演算タグ!D78))</f>
        <v/>
      </c>
      <c r="E78" s="94" t="str">
        <f>IF(cnt_簗平!$BJ$5=0,"",IF(演算タグ!F78&lt;0.001,"0.001未満",演算タグ!F78))</f>
        <v/>
      </c>
      <c r="F78" s="94" t="str">
        <f>IF(cnt_小原北部浄水!$BJ$5=0,"",IF(演算タグ!H78&lt;0.001,"0.001未満",演算タグ!H78))</f>
        <v/>
      </c>
      <c r="G78" s="94" t="str">
        <f>IF(cnt_大ケ蔵連!$BJ$5=0,"",IF(演算タグ!J78&lt;0.001,"0.001未満",演算タグ!J78))</f>
        <v/>
      </c>
      <c r="H78" s="94" t="str">
        <f>IF(cnt_小原西部浄水!$BJ$5=0,"",IF(演算タグ!L78&lt;0.001,"0.001未満",演算タグ!L78))</f>
        <v/>
      </c>
      <c r="I78" s="198" t="str">
        <f>IF(cnt_喜佐平!$BJ$5=0,"",IF(演算タグ!N78&lt;0.001,"0.001未満",演算タグ!N78))</f>
        <v/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tr">
        <f>IF(cnt_小原東部浄水!$BK$5=0,"",IF(演算タグ!D79&lt;0.002,"0.002未満",演算タグ!D79))</f>
        <v/>
      </c>
      <c r="E79" s="94" t="str">
        <f>IF(cnt_簗平!$BK$5=0,"",IF(演算タグ!F79&lt;0.002,"0.002未満",演算タグ!F79))</f>
        <v/>
      </c>
      <c r="F79" s="94" t="str">
        <f>IF(cnt_小原北部浄水!$BK$5=0,"",IF(演算タグ!H79&lt;0.002,"0.002未満",演算タグ!H79))</f>
        <v/>
      </c>
      <c r="G79" s="94" t="str">
        <f>IF(cnt_大ケ蔵連!$BK$5=0,"",IF(演算タグ!J79&lt;0.002,"0.002未満",演算タグ!J79))</f>
        <v/>
      </c>
      <c r="H79" s="94" t="str">
        <f>IF(cnt_小原西部浄水!$BK$5=0,"",IF(演算タグ!L79&lt;0.002,"0.002未満",演算タグ!L79))</f>
        <v/>
      </c>
      <c r="I79" s="198" t="str">
        <f>IF(cnt_喜佐平!$BK$5=0,"",IF(演算タグ!N79&lt;0.002,"0.002未満",演算タグ!N79))</f>
        <v/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tr">
        <f>IF(cnt_小原東部浄水!$BZ$5=0,"",IF(演算タグ!D80&lt;0.1,"0.1未満",演算タグ!D80))</f>
        <v/>
      </c>
      <c r="E80" s="68" t="str">
        <f>IF(cnt_簗平!$BZ$5=0,"",IF(演算タグ!F80&lt;0.1,"0.1未満",演算タグ!F80))</f>
        <v/>
      </c>
      <c r="F80" s="68" t="str">
        <f>IF(cnt_小原北部浄水!$BZ$5=0,"",IF(演算タグ!H80&lt;0.1,"0.1未満",演算タグ!H80))</f>
        <v/>
      </c>
      <c r="G80" s="68" t="str">
        <f>IF(cnt_大ケ蔵連!$BZ$5=0,"",IF(演算タグ!J80&lt;0.1,"0.1未満",演算タグ!J80))</f>
        <v/>
      </c>
      <c r="H80" s="68" t="str">
        <f>IF(cnt_小原西部浄水!$BZ$5=0,"",IF(演算タグ!L80&lt;0.1,"0.1未満",演算タグ!L80))</f>
        <v/>
      </c>
      <c r="I80" s="193" t="str">
        <f>IF(cnt_喜佐平!$BZ$5=0,"",IF(演算タグ!N80&lt;0.1,"0.1未満",演算タグ!N80))</f>
        <v/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f>IF(cnt_小原東部浄水!$BW$5=0,"",IF(演算タグ!D81&lt;0.1,"0.1未満",演算タグ!D81))</f>
        <v>1</v>
      </c>
      <c r="E81" s="68">
        <f>IF(cnt_簗平!$BW$5=0,"",IF(演算タグ!F81&lt;0.1,"0.1未満",演算タグ!F81))</f>
        <v>0.6</v>
      </c>
      <c r="F81" s="68">
        <f>IF(cnt_小原北部浄水!$BW$5=0,"",IF(演算タグ!H81&lt;0.1,"0.1未満",演算タグ!H81))</f>
        <v>0.8</v>
      </c>
      <c r="G81" s="68">
        <f>IF(cnt_大ケ蔵連!$BW$5=0,"",IF(演算タグ!J81&lt;0.1,"0.1未満",演算タグ!J81))</f>
        <v>0.5</v>
      </c>
      <c r="H81" s="68">
        <f>IF(cnt_小原西部浄水!$BW$5=0,"",IF(演算タグ!L81&lt;0.1,"0.1未満",演算タグ!L81))</f>
        <v>0.8</v>
      </c>
      <c r="I81" s="193">
        <f>IF(cnt_喜佐平!$BW$5=0,"",IF(演算タグ!N81&lt;0.1,"0.1未満",演算タグ!N81))</f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 t="str">
        <f>IF(cnt_小原東部浄水!$Z$5=0,"",演算タグ!D82)</f>
        <v/>
      </c>
      <c r="E82" s="68" t="str">
        <f>IF(cnt_簗平!$Z$5=0,"",演算タグ!F82)</f>
        <v/>
      </c>
      <c r="F82" s="68" t="str">
        <f>IF(cnt_小原北部浄水!$Z$5=0,"",演算タグ!H82)</f>
        <v/>
      </c>
      <c r="G82" s="68" t="str">
        <f>IF(cnt_大ケ蔵連!$Z$5=0,"",演算タグ!J82)</f>
        <v/>
      </c>
      <c r="H82" s="68" t="str">
        <f>IF(cnt_小原西部浄水!$Z$5=0,"",演算タグ!L82)</f>
        <v/>
      </c>
      <c r="I82" s="193" t="str">
        <f>IF(cnt_喜佐平!$Z$5=0,"",演算タグ!N82)</f>
        <v/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tr">
        <f>IF(cnt_小原東部浄水!$N$5=0,"",IF(演算タグ!E83&lt;0.001,"0.001未満",演算タグ!E83))</f>
        <v/>
      </c>
      <c r="E83" s="94" t="str">
        <f>IF(cnt_簗平!$N$5=0,"",IF(演算タグ!G83&lt;0.001,"0.001未満",演算タグ!G83))</f>
        <v/>
      </c>
      <c r="F83" s="94" t="str">
        <f>IF(cnt_小原北部浄水!$N$5=0,"",IF(演算タグ!I83&lt;0.001,"0.001未満",演算タグ!I83))</f>
        <v/>
      </c>
      <c r="G83" s="94" t="str">
        <f>IF(cnt_大ケ蔵連!$N$5=0,"",IF(演算タグ!K83&lt;0.001,"0.001未満",演算タグ!K83))</f>
        <v/>
      </c>
      <c r="H83" s="94" t="str">
        <f>IF(cnt_小原西部浄水!$N$5=0,"",IF(演算タグ!M83&lt;0.001,"0.001未満",演算タグ!M83))</f>
        <v/>
      </c>
      <c r="I83" s="198" t="str">
        <f>IF(cnt_喜佐平!$N$5=0,"",IF(演算タグ!O83&lt;0.001,"0.001未満",演算タグ!O83))</f>
        <v/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 t="str">
        <f>IF(cnt_小原東部浄水!$BM$5=0,"",演算タグ!D84)</f>
        <v/>
      </c>
      <c r="E84" s="68" t="str">
        <f>IF(cnt_簗平!$BM$5=0,"",演算タグ!F84)</f>
        <v/>
      </c>
      <c r="F84" s="68" t="str">
        <f>IF(cnt_小原北部浄水!$BM$5=0,"",演算タグ!H84)</f>
        <v/>
      </c>
      <c r="G84" s="68" t="str">
        <f>IF(cnt_大ケ蔵連!$BM$5=0,"",演算タグ!J84)</f>
        <v/>
      </c>
      <c r="H84" s="68" t="str">
        <f>IF(cnt_小原西部浄水!$BM$5=0,"",演算タグ!L84)</f>
        <v/>
      </c>
      <c r="I84" s="193" t="str">
        <f>IF(cnt_喜佐平!$BM$5=0,"",演算タグ!N84)</f>
        <v/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tr">
        <f>IF(cnt_小原東部浄水!$AO$5=0,"",IF(演算タグ!D85&lt;0.001,"0.001未満",演算タグ!D85))</f>
        <v>0.001未満</v>
      </c>
      <c r="E85" s="94" t="str">
        <f>IF(cnt_簗平!$AO$5=0,"",IF(演算タグ!F85&lt;0.001,"0.001未満",演算タグ!F85))</f>
        <v>0.001未満</v>
      </c>
      <c r="F85" s="94" t="str">
        <f>IF(cnt_小原北部浄水!$AO$5=0,"",IF(演算タグ!H85&lt;0.001,"0.001未満",演算タグ!H85))</f>
        <v>0.001未満</v>
      </c>
      <c r="G85" s="94" t="str">
        <f>IF(cnt_大ケ蔵連!$AO$5=0,"",IF(演算タグ!J85&lt;0.001,"0.001未満",演算タグ!J85))</f>
        <v>0.001未満</v>
      </c>
      <c r="H85" s="94" t="str">
        <f>IF(cnt_小原西部浄水!$AO$5=0,"",IF(演算タグ!L85&lt;0.001,"0.001未満",演算タグ!L85))</f>
        <v>0.001未満</v>
      </c>
      <c r="I85" s="198" t="str">
        <f>IF(cnt_喜佐平!$AO$5=0,"",IF(演算タグ!N85&lt;0.001,"0.001未満",演算タグ!N85))</f>
        <v>0.001未満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tr">
        <f>IF(cnt_小原東部浄水!$AP$5=0,"",IF(演算タグ!D86&lt;0.001,"0.001未満",演算タグ!D86))</f>
        <v>0.001未満</v>
      </c>
      <c r="E86" s="94" t="str">
        <f>IF(cnt_簗平!$AP$5=0,"",IF(演算タグ!F86&lt;0.001,"0.001未満",演算タグ!F86))</f>
        <v>0.001未満</v>
      </c>
      <c r="F86" s="94" t="str">
        <f>IF(cnt_小原北部浄水!$AP$5=0,"",IF(演算タグ!H86&lt;0.001,"0.001未満",演算タグ!H86))</f>
        <v>0.001未満</v>
      </c>
      <c r="G86" s="94" t="str">
        <f>IF(cnt_大ケ蔵連!$AP$5=0,"",IF(演算タグ!J86&lt;0.001,"0.001未満",演算タグ!J86))</f>
        <v>0.001未満</v>
      </c>
      <c r="H86" s="94" t="str">
        <f>IF(cnt_小原西部浄水!$AP$5=0,"",IF(演算タグ!L86&lt;0.001,"0.001未満",演算タグ!L86))</f>
        <v>0.001未満</v>
      </c>
      <c r="I86" s="198" t="str">
        <f>IF(cnt_喜佐平!$AP$5=0,"",IF(演算タグ!N86&lt;0.001,"0.001未満",演算タグ!N86))</f>
        <v>0.001未満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>
        <f>IF(cnt_小原東部浄水!$BP$5=0,"",演算タグ!D87)</f>
        <v>1.1000000000000001</v>
      </c>
      <c r="E87" s="68">
        <f>IF(cnt_簗平!$BP$5=0,"",演算タグ!F87)</f>
        <v>0.9</v>
      </c>
      <c r="F87" s="68">
        <f>IF(cnt_小原北部浄水!$BP$5=0,"",演算タグ!H87)</f>
        <v>1.9</v>
      </c>
      <c r="G87" s="68">
        <f>IF(cnt_大ケ蔵連!$BP$5=0,"",演算タグ!J87)</f>
        <v>1.9</v>
      </c>
      <c r="H87" s="68">
        <f>IF(cnt_小原西部浄水!$BP$5=0,"",演算タグ!L87)</f>
        <v>1.3</v>
      </c>
      <c r="I87" s="193">
        <f>IF(cnt_喜佐平!$BP$5=0,"",演算タグ!N87)</f>
        <v>0.8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tr">
        <f>IF(cnt_小原東部浄水!$BQ$5=0,"",IF(演算タグ!D88&lt;1,"1未満",演算タグ!D88))</f>
        <v/>
      </c>
      <c r="E88" s="66" t="str">
        <f>IF(cnt_簗平!$BQ$5=0,"",IF(演算タグ!F88&lt;1,"1未満",演算タグ!F88))</f>
        <v/>
      </c>
      <c r="F88" s="66" t="str">
        <f>IF(cnt_小原北部浄水!$BQ$5=0,"",IF(演算タグ!H88&lt;1,"1未満",演算タグ!H88))</f>
        <v/>
      </c>
      <c r="G88" s="66" t="str">
        <f>IF(cnt_大ケ蔵連!$BQ$5=0,"",IF(演算タグ!J88&lt;1,"1未満",演算タグ!J88))</f>
        <v/>
      </c>
      <c r="H88" s="66" t="str">
        <f>IF(cnt_小原西部浄水!$BQ$5=0,"",IF(演算タグ!L88&lt;1,"1未満",演算タグ!L88))</f>
        <v/>
      </c>
      <c r="I88" s="112" t="str">
        <f>IF(cnt_喜佐平!$BQ$5=0,"",IF(演算タグ!N88&lt;1,"1未満",演算タグ!N88))</f>
        <v/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 t="str">
        <f>IF(cnt_小原東部浄水!$AW$5=0,"",演算タグ!D89)</f>
        <v/>
      </c>
      <c r="E89" s="66" t="str">
        <f>IF(cnt_簗平!$AW$5=0,"",演算タグ!F89)</f>
        <v/>
      </c>
      <c r="F89" s="66" t="str">
        <f>IF(cnt_小原北部浄水!$AW$5=0,"",演算タグ!H89)</f>
        <v/>
      </c>
      <c r="G89" s="66" t="str">
        <f>IF(cnt_大ケ蔵連!$AW$5=0,"",演算タグ!J89)</f>
        <v/>
      </c>
      <c r="H89" s="66" t="str">
        <f>IF(cnt_小原西部浄水!$AW$5=0,"",演算タグ!L89)</f>
        <v/>
      </c>
      <c r="I89" s="112" t="str">
        <f>IF(cnt_喜佐平!$AW$5=0,"",演算タグ!N89)</f>
        <v/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tr">
        <f>IF(cnt_小原東部浄水!$BE$5=0,"",IF(演算タグ!D90&lt;0.1,"0.1未満",演算タグ!D90))</f>
        <v>0.1未満</v>
      </c>
      <c r="E90" s="68" t="str">
        <f>IF(cnt_簗平!$BE$5=0,"",IF(演算タグ!F90&lt;0.1,"0.1未満",演算タグ!F90))</f>
        <v>0.1未満</v>
      </c>
      <c r="F90" s="68" t="str">
        <f>IF(cnt_小原北部浄水!$BE$5=0,"",IF(演算タグ!H90&lt;0.1,"0.1未満",演算タグ!H90))</f>
        <v>0.1未満</v>
      </c>
      <c r="G90" s="68" t="str">
        <f>IF(cnt_大ケ蔵連!$BE$5=0,"",IF(演算タグ!J90&lt;0.1,"0.1未満",演算タグ!J90))</f>
        <v>0.1未満</v>
      </c>
      <c r="H90" s="68" t="str">
        <f>IF(cnt_小原西部浄水!$BE$5=0,"",IF(演算タグ!L90&lt;0.1,"0.1未満",演算タグ!L90))</f>
        <v>0.1未満</v>
      </c>
      <c r="I90" s="193" t="str">
        <f>IF(cnt_喜佐平!$BE$5=0,"",IF(演算タグ!N90&lt;0.1,"0.1未満",演算タグ!N90))</f>
        <v>0.1未満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f>IF(cnt_小原東部浄水!$BF$5=0,"",演算タグ!D91)</f>
        <v>7.2</v>
      </c>
      <c r="E91" s="68">
        <f>IF(cnt_簗平!$BF$5=0,"",演算タグ!F91)</f>
        <v>7.3</v>
      </c>
      <c r="F91" s="68">
        <f>IF(cnt_小原北部浄水!$BF$5=0,"",演算タグ!H91)</f>
        <v>7.3</v>
      </c>
      <c r="G91" s="68">
        <f>IF(cnt_大ケ蔵連!$BF$5=0,"",演算タグ!J91)</f>
        <v>7.5</v>
      </c>
      <c r="H91" s="68">
        <f>IF(cnt_小原西部浄水!$BF$5=0,"",演算タグ!L91)</f>
        <v>7.3</v>
      </c>
      <c r="I91" s="193">
        <f>IF(cnt_喜佐平!$BF$5=0,"",演算タグ!N91)</f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tr">
        <f>IF(cnt_小原東部浄水!$BO$5=0,"",演算タグ!D92)</f>
        <v/>
      </c>
      <c r="E92" s="68" t="str">
        <f>IF(cnt_簗平!$BO$5=0,"",演算タグ!F92)</f>
        <v/>
      </c>
      <c r="F92" s="68" t="str">
        <f>IF(cnt_小原北部浄水!$BO$5=0,"",演算タグ!H92)</f>
        <v/>
      </c>
      <c r="G92" s="68" t="str">
        <f>IF(cnt_大ケ蔵連!$BO$5=0,"",演算タグ!J92)</f>
        <v/>
      </c>
      <c r="H92" s="68" t="str">
        <f>IF(cnt_小原西部浄水!$BO$5=0,"",演算タグ!L92)</f>
        <v/>
      </c>
      <c r="I92" s="193" t="str">
        <f>IF(cnt_喜佐平!$BO$5=0,"",演算タグ!N92)</f>
        <v/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tr">
        <f>IF(cnt_小原東部浄水!$BS$5=0,"",演算タグ!D93)</f>
        <v/>
      </c>
      <c r="E93" s="66" t="str">
        <f>IF(cnt_簗平!$BS$5=0,"",演算タグ!F93)</f>
        <v/>
      </c>
      <c r="F93" s="66" t="str">
        <f>IF(cnt_小原北部浄水!$BS$5=0,"",演算タグ!H93)</f>
        <v/>
      </c>
      <c r="G93" s="66" t="str">
        <f>IF(cnt_大ケ蔵連!$BS$5=0,"",演算タグ!J93)</f>
        <v/>
      </c>
      <c r="H93" s="66" t="str">
        <f>IF(cnt_小原西部浄水!$BS$5=0,"",演算タグ!L93)</f>
        <v/>
      </c>
      <c r="I93" s="112" t="str">
        <f>IF(cnt_喜佐平!$BS$5=0,"",演算タグ!N93)</f>
        <v/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tr">
        <f>IF(cnt_小原東部浄水!$AQ$5=0,"",IF(演算タグ!D94&lt;0.001,"0.001未満",演算タグ!D94))</f>
        <v>0.001未満</v>
      </c>
      <c r="E94" s="94" t="str">
        <f>IF(cnt_簗平!$AQ$5=0,"",IF(演算タグ!F94&lt;0.001,"0.001未満",演算タグ!F94))</f>
        <v>0.001未満</v>
      </c>
      <c r="F94" s="94" t="str">
        <f>IF(cnt_小原北部浄水!$AQ$5=0,"",IF(演算タグ!H94&lt;0.001,"0.001未満",演算タグ!H94))</f>
        <v>0.001未満</v>
      </c>
      <c r="G94" s="94" t="str">
        <f>IF(cnt_大ケ蔵連!$AQ$5=0,"",IF(演算タグ!J94&lt;0.001,"0.001未満",演算タグ!J94))</f>
        <v>0.001未満</v>
      </c>
      <c r="H94" s="94" t="str">
        <f>IF(cnt_小原西部浄水!$AQ$5=0,"",IF(演算タグ!L94&lt;0.001,"0.001未満",演算タグ!L94))</f>
        <v>0.001未満</v>
      </c>
      <c r="I94" s="198" t="str">
        <f>IF(cnt_喜佐平!$AQ$5=0,"",IF(演算タグ!N94&lt;0.001,"0.001未満",演算タグ!N94))</f>
        <v>0.001未満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tr">
        <f>IF(cnt_小原東部浄水!$K$5=0,"",IF(演算タグ!E95&lt;0.01,"0.01未満",演算タグ!E95))</f>
        <v/>
      </c>
      <c r="E95" s="96" t="str">
        <f>IF(cnt_簗平!$K$5=0,"",IF(演算タグ!G95&lt;0.01,"0.01未満",演算タグ!G95))</f>
        <v/>
      </c>
      <c r="F95" s="96" t="str">
        <f>IF(cnt_小原北部浄水!$K$5=0,"",IF(演算タグ!I95&lt;0.01,"0.01未満",演算タグ!I95))</f>
        <v/>
      </c>
      <c r="G95" s="96" t="str">
        <f>IF(cnt_大ケ蔵連!$K$5=0,"",IF(演算タグ!K95&lt;0.01,"0.01未満",演算タグ!K95))</f>
        <v/>
      </c>
      <c r="H95" s="96" t="str">
        <f>IF(cnt_小原西部浄水!$K$5=0,"",IF(演算タグ!M95&lt;0.01,"0.01未満",演算タグ!M95))</f>
        <v/>
      </c>
      <c r="I95" s="199" t="str">
        <f>IF(cnt_喜佐平!$K$5=0,"",IF(演算タグ!O95&lt;0.01,"0.01未満",演算タグ!O95))</f>
        <v/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tr">
        <f>IF(cnt_小原東部浄水!$BR$5=0,"",IF(演算タグ!E96&lt;0.000005,"0.000005未満",演算タグ!E96))</f>
        <v/>
      </c>
      <c r="E96" s="176" t="str">
        <f>IF(cnt_簗平!$BR$5=0,"",IF(演算タグ!G96&lt;0.000005,"0.000005未満",演算タグ!G96))</f>
        <v/>
      </c>
      <c r="F96" s="176" t="str">
        <f>IF(cnt_小原北部浄水!$BR$5=0,"",IF(演算タグ!I96&lt;0.000005,"0.000005未満",演算タグ!I96))</f>
        <v/>
      </c>
      <c r="G96" s="176" t="str">
        <f>IF(cnt_大ケ蔵連!$BR$5=0,"",IF(演算タグ!K96&lt;0.000005,"0.000005未満",演算タグ!K96))</f>
        <v/>
      </c>
      <c r="H96" s="176" t="str">
        <f>IF(cnt_小原西部浄水!$BR$5=0,"",IF(演算タグ!M96&lt;0.000005,"0.000005未満",演算タグ!M96))</f>
        <v/>
      </c>
      <c r="I96" s="202" t="str">
        <f>IF(cnt_喜佐平!$BR$5=0,"",IF(演算タグ!O96&lt;0.000005,"0.000005未満",演算タグ!O96))</f>
        <v/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 t="str">
        <f>IF(cnt_小原東部浄水!$BL$5=0,"",演算タグ!D98)</f>
        <v/>
      </c>
      <c r="E98" s="137" t="str">
        <f>IF(cnt_簗平!$BL$5=0,"",演算タグ!F98)</f>
        <v/>
      </c>
      <c r="F98" s="137" t="str">
        <f>IF(cnt_小原北部浄水!$BL$5=0,"",演算タグ!H98)</f>
        <v/>
      </c>
      <c r="G98" s="137" t="str">
        <f>IF(cnt_大ケ蔵連!$BL$5=0,"",演算タグ!J98)</f>
        <v/>
      </c>
      <c r="H98" s="137" t="str">
        <f>IF(cnt_小原西部浄水!$BL$5=0,"",演算タグ!L98)</f>
        <v/>
      </c>
      <c r="I98" s="203" t="str">
        <f>IF(cnt_喜佐平!$BL$5=0,"",演算タグ!N98)</f>
        <v/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 t="str">
        <f>IF(cnt_小原東部浄水!$BN$5=0,"",演算タグ!D99)</f>
        <v/>
      </c>
      <c r="E99" s="68" t="str">
        <f>IF(cnt_簗平!$BN$5=0,"",演算タグ!F99)</f>
        <v/>
      </c>
      <c r="F99" s="68" t="str">
        <f>IF(cnt_小原北部浄水!$BN$5=0,"",演算タグ!H99)</f>
        <v/>
      </c>
      <c r="G99" s="68" t="str">
        <f>IF(cnt_大ケ蔵連!$BN$5=0,"",演算タグ!J99)</f>
        <v/>
      </c>
      <c r="H99" s="68" t="str">
        <f>IF(cnt_小原西部浄水!$BN$5=0,"",演算タグ!L99)</f>
        <v/>
      </c>
      <c r="I99" s="193" t="str">
        <f>IF(cnt_喜佐平!$BN$5=0,"",演算タグ!N99)</f>
        <v/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f>IF(cnt_小原東部浄水!$CA$5=0,"",演算タグ!D100)</f>
        <v>5.3</v>
      </c>
      <c r="E100" s="68">
        <f>IF(cnt_簗平!$CA$5=0,"",演算タグ!F100)</f>
        <v>5.3</v>
      </c>
      <c r="F100" s="68">
        <f>IF(cnt_小原北部浄水!$CA$5=0,"",演算タグ!H100)</f>
        <v>4</v>
      </c>
      <c r="G100" s="68">
        <f>IF(cnt_大ケ蔵連!$CA$5=0,"",演算タグ!J100)</f>
        <v>4</v>
      </c>
      <c r="H100" s="68">
        <f>IF(cnt_小原西部浄水!$CA$5=0,"",演算タグ!L100)</f>
        <v>4.2</v>
      </c>
      <c r="I100" s="193">
        <f>IF(cnt_喜佐平!$CA$5=0,"",演算タグ!N100)</f>
        <v>4.2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>
        <f>IF(cnt_小原東部浄水!$BV$5=0,"",IF(演算タグ!D101&lt;0.02,"0.02未満",演算タグ!D101))</f>
        <v>0.19</v>
      </c>
      <c r="E101" s="96">
        <f>IF(cnt_簗平!$BV$5=0,"",IF(演算タグ!F101&lt;0.02,"0.02未満",演算タグ!F101))</f>
        <v>0.19</v>
      </c>
      <c r="F101" s="96">
        <f>IF(cnt_小原北部浄水!$BV$5=0,"",IF(演算タグ!H101&lt;0.02,"0.02未満",演算タグ!H101))</f>
        <v>0.09</v>
      </c>
      <c r="G101" s="96">
        <f>IF(cnt_大ケ蔵連!$BV$5=0,"",IF(演算タグ!J101&lt;0.02,"0.02未満",演算タグ!J101))</f>
        <v>0.09</v>
      </c>
      <c r="H101" s="96">
        <f>IF(cnt_小原西部浄水!$BV$5=0,"",IF(演算タグ!L101&lt;0.02,"0.02未満",演算タグ!L101))</f>
        <v>7.0000000000000007E-2</v>
      </c>
      <c r="I101" s="199">
        <f>IF(cnt_喜佐平!$BV$5=0,"",IF(演算タグ!N101&lt;0.02,"0.02未満",演算タグ!N101))</f>
        <v>7.0000000000000007E-2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tr">
        <f>IF(OR(cnt_小原東部浄水!$BT$5=0,cnt_小原東部浄水!$BT$5=""),"",IF(演算タグ!D104=1,"検出","不検出"))</f>
        <v/>
      </c>
      <c r="E104" s="66" t="str">
        <f>IF(OR(cnt_簗平!$BT$5=0,cnt_簗平!$BT$5=""),"",IF(演算タグ!F104=1,"検出","不検出"))</f>
        <v/>
      </c>
      <c r="F104" s="66" t="str">
        <f>IF(OR(cnt_小原北部浄水!$BT$5=0,cnt_小原北部浄水!$BT$5=""),"",IF(演算タグ!H104=1,"検出","不検出"))</f>
        <v/>
      </c>
      <c r="G104" s="66" t="str">
        <f>IF(OR(cnt_大ケ蔵連!$BT$5=0,cnt_大ケ蔵連!$BT$5=""),"",IF(演算タグ!J104=1,"検出","不検出"))</f>
        <v/>
      </c>
      <c r="H104" s="66" t="str">
        <f>IF(OR(cnt_小原西部浄水!$BT$5=0,cnt_小原西部浄水!$BT$5=""),"",IF(演算タグ!L104=1,"検出","不検出"))</f>
        <v/>
      </c>
      <c r="I104" s="112" t="str">
        <f>IF(OR(cnt_喜佐平!$BT$5=0,cnt_喜佐平!$BT$5=""),"",IF(演算タグ!N104=1,"検出","不検出"))</f>
        <v/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tr">
        <f>IF(OR(cnt_小原東部浄水!$BU$5=0,cnt_小原東部浄水!$BU$5=""),"",IF(演算タグ!D105=1,"検出","不検出"))</f>
        <v/>
      </c>
      <c r="E105" s="108" t="str">
        <f>IF(OR(cnt_簗平!$BU$5=0,cnt_簗平!$BU$5=""),"",IF(演算タグ!F105=1,"検出","不検出"))</f>
        <v/>
      </c>
      <c r="F105" s="108" t="str">
        <f>IF(OR(cnt_小原北部浄水!$BU$5=0,cnt_小原北部浄水!$BU$5=""),"",IF(演算タグ!H105=1,"検出","不検出"))</f>
        <v/>
      </c>
      <c r="G105" s="108" t="str">
        <f>IF(OR(cnt_大ケ蔵連!$BU$5=0,cnt_大ケ蔵連!$BU$5=""),"",IF(演算タグ!J105=1,"検出","不検出"))</f>
        <v/>
      </c>
      <c r="H105" s="108" t="str">
        <f>IF(OR(cnt_小原西部浄水!$BU$5=0,cnt_小原西部浄水!$BU$5=""),"",IF(演算タグ!L105=1,"検出","不検出"))</f>
        <v/>
      </c>
      <c r="I105" s="204" t="str">
        <f>IF(OR(cnt_喜佐平!$BU$5=0,cnt_喜佐平!$BU$5=""),"",IF(演算タグ!N105=1,"検出","不検出"))</f>
        <v/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4">
        <f>EDATE(演算タグ!B1,-3)</f>
        <v>45170</v>
      </c>
      <c r="B130" s="234"/>
      <c r="C130" s="235">
        <f>演算タグ!B1</f>
        <v>45261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20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1</v>
      </c>
      <c r="AI6" s="173">
        <f>AH6*1</f>
        <v>1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371</v>
      </c>
      <c r="D32" t="s">
        <v>371</v>
      </c>
      <c r="E32" t="s">
        <v>371</v>
      </c>
      <c r="F32" t="s">
        <v>372</v>
      </c>
      <c r="G32" t="s">
        <v>373</v>
      </c>
      <c r="H32" t="s">
        <v>372</v>
      </c>
      <c r="I32" t="s">
        <v>371</v>
      </c>
      <c r="J32" t="s">
        <v>372</v>
      </c>
      <c r="K32" t="s">
        <v>372</v>
      </c>
      <c r="L32" t="s">
        <v>374</v>
      </c>
      <c r="M32" t="s">
        <v>375</v>
      </c>
      <c r="N32" t="s">
        <v>376</v>
      </c>
      <c r="O32" t="s">
        <v>372</v>
      </c>
      <c r="P32" t="s">
        <v>374</v>
      </c>
      <c r="Q32" t="s">
        <v>377</v>
      </c>
      <c r="R32" t="s">
        <v>378</v>
      </c>
      <c r="S32" t="s">
        <v>371</v>
      </c>
      <c r="T32" t="s">
        <v>371</v>
      </c>
      <c r="U32" t="s">
        <v>379</v>
      </c>
      <c r="V32" t="s">
        <v>374</v>
      </c>
      <c r="W32" t="s">
        <v>374</v>
      </c>
      <c r="X32" t="s">
        <v>380</v>
      </c>
      <c r="Y32" t="s">
        <v>374</v>
      </c>
      <c r="Z32" t="s">
        <v>374</v>
      </c>
      <c r="AA32" t="s">
        <v>372</v>
      </c>
      <c r="AB32" t="s">
        <v>372</v>
      </c>
      <c r="AC32" t="s">
        <v>372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曇|晴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晴</v>
      </c>
      <c r="I37" s="2" t="str">
        <f t="shared" si="0"/>
        <v>曇|晴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晴/雨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曇|雨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曇|晴</v>
      </c>
      <c r="U37" s="2" t="str">
        <f t="shared" si="0"/>
        <v>晴/曇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晴/雪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20</v>
      </c>
      <c r="D41" s="2">
        <f>IF(D37="","",VLOOKUP(D37,変換!$B$31:$C$58,2,FALSE))</f>
        <v>20</v>
      </c>
      <c r="E41" s="2">
        <f>IF(E37="","",VLOOKUP(E37,変換!$B$31:$C$58,2,FALSE))</f>
        <v>20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1</v>
      </c>
      <c r="I41" s="2">
        <f>IF(I37="","",VLOOKUP(I37,変換!$B$31:$C$58,2,FALSE))</f>
        <v>20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6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21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20</v>
      </c>
      <c r="U41" s="2">
        <f>IF(U37="","",VLOOKUP(U37,変換!$B$31:$C$58,2,FALSE))</f>
        <v>5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7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45261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20231211</v>
      </c>
      <c r="E9" s="57" t="str">
        <f>IF(手入力!C3="",REPLACE(D9,5,0,"/"),REPLACE(手入力!C3,5,0,"/"))</f>
        <v>2023/1211</v>
      </c>
      <c r="F9" s="56">
        <v>20231211</v>
      </c>
      <c r="G9" s="57" t="str">
        <f>IF(手入力!D3="",REPLACE(F9,5,0,"/"),REPLACE(手入力!D3,5,0,"/"))</f>
        <v>2023/1211</v>
      </c>
      <c r="H9" s="56">
        <v>20231211</v>
      </c>
      <c r="I9" s="57" t="str">
        <f>IF(手入力!E3="",REPLACE(H9,5,0,"/"),REPLACE(手入力!E3,5,0,"/"))</f>
        <v>2023/1211</v>
      </c>
      <c r="J9" s="56">
        <v>20231211</v>
      </c>
      <c r="K9" s="57" t="str">
        <f>IF(手入力!F3="",REPLACE(J9,5,0,"/"),REPLACE(手入力!F3,5,0,"/"))</f>
        <v>2023/1211</v>
      </c>
      <c r="L9" s="56">
        <v>20231211</v>
      </c>
      <c r="M9" s="57" t="str">
        <f>IF(手入力!G3="",REPLACE(L9,5,0,"/"),REPLACE(手入力!G3,5,0,"/"))</f>
        <v>2023/1211</v>
      </c>
      <c r="N9" s="56">
        <v>20231211</v>
      </c>
      <c r="O9" s="57" t="str">
        <f>IF(手入力!H3="",REPLACE(N9,5,0,"/"),REPLACE(手入力!H3,5,0,"/"))</f>
        <v>2023/1211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1011</v>
      </c>
      <c r="E10" s="65" t="str">
        <f>TEXT(D10,"0000")</f>
        <v>1011</v>
      </c>
      <c r="F10" s="66">
        <v>1048</v>
      </c>
      <c r="G10" s="65" t="str">
        <f>TEXT(F10,"0000")</f>
        <v>1048</v>
      </c>
      <c r="H10" s="66">
        <v>951</v>
      </c>
      <c r="I10" s="65" t="str">
        <f>TEXT(H10,"0000")</f>
        <v>0951</v>
      </c>
      <c r="J10" s="66">
        <v>1021</v>
      </c>
      <c r="K10" s="65" t="str">
        <f>TEXT(J10,"0000")</f>
        <v>1021</v>
      </c>
      <c r="L10" s="66">
        <v>932</v>
      </c>
      <c r="M10" s="65" t="str">
        <f>TEXT(L10,"0000")</f>
        <v>0932</v>
      </c>
      <c r="N10" s="66">
        <v>917</v>
      </c>
      <c r="O10" s="65" t="str">
        <f>TEXT(N10,"0000")</f>
        <v>0917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晴|曇</v>
      </c>
      <c r="E11" s="66">
        <f>IF(E9=0,"",(RIGHT(E9,2))-1)</f>
        <v>10</v>
      </c>
      <c r="F11" s="66" t="str">
        <f>IF(F$9=0,"",HLOOKUP(G11,天気タグ!$B$3:$AG$39,35))</f>
        <v>晴|曇</v>
      </c>
      <c r="G11" s="66">
        <f>IF(G9=0,"",(RIGHT(G9,2))-1)</f>
        <v>10</v>
      </c>
      <c r="H11" s="66" t="str">
        <f>IF(H$9=0,"",HLOOKUP(I11,天気タグ!$B$3:$AG$39,35))</f>
        <v>晴|曇</v>
      </c>
      <c r="I11" s="66">
        <f>IF(I9=0,"",(RIGHT(I9,2))-1)</f>
        <v>10</v>
      </c>
      <c r="J11" s="66" t="str">
        <f>IF(J$9=0,"",HLOOKUP(K11,天気タグ!$B$3:$AG$39,35))</f>
        <v>晴|曇</v>
      </c>
      <c r="K11" s="66">
        <f>IF(K9=0,"",(RIGHT(K9,2))-1)</f>
        <v>10</v>
      </c>
      <c r="L11" s="66" t="str">
        <f>IF(L$9=0,"",HLOOKUP(M11,天気タグ!$B$3:$AG$39,35))</f>
        <v>晴|曇</v>
      </c>
      <c r="M11" s="66">
        <f>IF(M9=0,"",(RIGHT(M9,2))-1)</f>
        <v>10</v>
      </c>
      <c r="N11" s="66" t="str">
        <f>IF(N$9=0,"",HLOOKUP(O11,天気タグ!$B$3:$AG$39,35))</f>
        <v>晴|曇</v>
      </c>
      <c r="O11" s="66">
        <f>IF(O9=0,"",(RIGHT(O9,2))-1)</f>
        <v>10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晴/雨</v>
      </c>
      <c r="E12" s="66">
        <f>IF(E9=0,"",RIGHT(E9,2)*1)</f>
        <v>11</v>
      </c>
      <c r="F12" s="66" t="str">
        <f>IF(F$9=0,"",HLOOKUP(G12,天気タグ!$B$3:$AG$39,35))</f>
        <v>晴/雨</v>
      </c>
      <c r="G12" s="66">
        <f>IF(G9=0,"",RIGHT(G9,2)*1)</f>
        <v>11</v>
      </c>
      <c r="H12" s="66" t="str">
        <f>IF(H$9=0,"",HLOOKUP(I12,天気タグ!$B$3:$AG$39,35))</f>
        <v>晴/雨</v>
      </c>
      <c r="I12" s="66">
        <f>IF(I9=0,"",RIGHT(I9,2)*1)</f>
        <v>11</v>
      </c>
      <c r="J12" s="66" t="str">
        <f>IF(J$9=0,"",HLOOKUP(K12,天気タグ!$B$3:$AG$39,35))</f>
        <v>晴/雨</v>
      </c>
      <c r="K12" s="66">
        <f>IF(K9=0,"",RIGHT(K9,2)*1)</f>
        <v>11</v>
      </c>
      <c r="L12" s="66" t="str">
        <f>IF(L$9=0,"",HLOOKUP(M12,天気タグ!$B$3:$AG$39,35))</f>
        <v>晴/雨</v>
      </c>
      <c r="M12" s="66">
        <f>IF(M9=0,"",RIGHT(M9,2)*1)</f>
        <v>11</v>
      </c>
      <c r="N12" s="66" t="str">
        <f>IF(N$9=0,"",HLOOKUP(O12,天気タグ!$B$3:$AG$39,35))</f>
        <v>晴/雨</v>
      </c>
      <c r="O12" s="66">
        <f>IF(O9=0,"",RIGHT(O9,2)*1)</f>
        <v>11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9.1999999999999993</v>
      </c>
      <c r="E13" s="68"/>
      <c r="F13" s="68">
        <v>10.199999999999999</v>
      </c>
      <c r="G13" s="68"/>
      <c r="H13" s="68">
        <v>8.6</v>
      </c>
      <c r="I13" s="68"/>
      <c r="J13" s="68">
        <v>11</v>
      </c>
      <c r="K13" s="68"/>
      <c r="L13" s="68">
        <v>8.6</v>
      </c>
      <c r="M13" s="68"/>
      <c r="N13" s="68">
        <v>9.1999999999999993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8.9</v>
      </c>
      <c r="E14" s="75"/>
      <c r="F14" s="75">
        <v>12.7</v>
      </c>
      <c r="G14" s="75"/>
      <c r="H14" s="75">
        <v>8.9</v>
      </c>
      <c r="I14" s="75"/>
      <c r="J14" s="75">
        <v>11.5</v>
      </c>
      <c r="K14" s="75"/>
      <c r="L14" s="75">
        <v>10.7</v>
      </c>
      <c r="M14" s="75"/>
      <c r="N14" s="75">
        <v>11.7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0.19</v>
      </c>
      <c r="E26" s="96"/>
      <c r="F26" s="66">
        <v>0.19</v>
      </c>
      <c r="G26" s="96"/>
      <c r="H26" s="66">
        <v>0.09</v>
      </c>
      <c r="I26" s="96"/>
      <c r="J26" s="66">
        <v>0.09</v>
      </c>
      <c r="K26" s="96"/>
      <c r="L26" s="66">
        <v>7.0000000000000007E-2</v>
      </c>
      <c r="M26" s="96"/>
      <c r="N26" s="66">
        <v>7.0000000000000007E-2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7.0000000000000007E-2</v>
      </c>
      <c r="E27" s="96"/>
      <c r="F27" s="66">
        <v>0.08</v>
      </c>
      <c r="G27" s="96"/>
      <c r="H27" s="66">
        <v>0.05</v>
      </c>
      <c r="I27" s="96"/>
      <c r="J27" s="66">
        <v>0.05</v>
      </c>
      <c r="K27" s="96"/>
      <c r="L27" s="66">
        <v>0.06</v>
      </c>
      <c r="M27" s="96"/>
      <c r="N27" s="66">
        <v>0.06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>
        <v>3</v>
      </c>
      <c r="E38" s="169">
        <f>D38/1000</f>
        <v>3.0000000000000001E-3</v>
      </c>
      <c r="F38" s="66">
        <v>6</v>
      </c>
      <c r="G38" s="169">
        <f>F38/1000</f>
        <v>6.0000000000000001E-3</v>
      </c>
      <c r="H38" s="66">
        <v>7</v>
      </c>
      <c r="I38" s="169">
        <f>H38/1000</f>
        <v>7.0000000000000001E-3</v>
      </c>
      <c r="J38" s="66">
        <v>10</v>
      </c>
      <c r="K38" s="169">
        <f>J38/1000</f>
        <v>0.01</v>
      </c>
      <c r="L38" s="66">
        <v>3</v>
      </c>
      <c r="M38" s="169">
        <f>L38/1000</f>
        <v>3.0000000000000001E-3</v>
      </c>
      <c r="N38" s="66">
        <v>8</v>
      </c>
      <c r="O38" s="169">
        <f>N38/1000</f>
        <v>8.0000000000000002E-3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>
        <v>4</v>
      </c>
      <c r="E42" s="65">
        <f>D42/1000</f>
        <v>4.0000000000000001E-3</v>
      </c>
      <c r="F42" s="66">
        <v>8</v>
      </c>
      <c r="G42" s="65">
        <f>F42/1000</f>
        <v>8.0000000000000002E-3</v>
      </c>
      <c r="H42" s="66">
        <v>8</v>
      </c>
      <c r="I42" s="65">
        <f>H42/1000</f>
        <v>8.0000000000000002E-3</v>
      </c>
      <c r="J42" s="66">
        <v>12</v>
      </c>
      <c r="K42" s="65">
        <f>J42/1000</f>
        <v>1.2E-2</v>
      </c>
      <c r="L42" s="66">
        <v>3</v>
      </c>
      <c r="M42" s="65">
        <f>L42/1000</f>
        <v>3.0000000000000001E-3</v>
      </c>
      <c r="N42" s="66">
        <v>10</v>
      </c>
      <c r="O42" s="65">
        <f>N42/1000</f>
        <v>0.01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>
        <v>1</v>
      </c>
      <c r="E44" s="169">
        <f t="shared" ref="E44" si="12">D44/1000</f>
        <v>1E-3</v>
      </c>
      <c r="F44" s="66">
        <v>2</v>
      </c>
      <c r="G44" s="169">
        <f t="shared" ref="G44" si="13">F44/1000</f>
        <v>2E-3</v>
      </c>
      <c r="H44" s="66">
        <v>1</v>
      </c>
      <c r="I44" s="169">
        <f t="shared" ref="I44" si="14">H44/1000</f>
        <v>1E-3</v>
      </c>
      <c r="J44" s="66">
        <v>2</v>
      </c>
      <c r="K44" s="169">
        <f t="shared" ref="K44" si="15">J44/1000</f>
        <v>2E-3</v>
      </c>
      <c r="L44" s="66">
        <v>0</v>
      </c>
      <c r="M44" s="169">
        <f t="shared" ref="M44" si="16">L44/1000</f>
        <v>0</v>
      </c>
      <c r="N44" s="66">
        <v>2</v>
      </c>
      <c r="O44" s="169">
        <f t="shared" ref="O44" si="17">N44/1000</f>
        <v>2E-3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2.5</v>
      </c>
      <c r="E53" s="68"/>
      <c r="F53" s="66">
        <v>2.5</v>
      </c>
      <c r="G53" s="68"/>
      <c r="H53" s="66">
        <v>2.2000000000000002</v>
      </c>
      <c r="I53" s="68"/>
      <c r="J53" s="66">
        <v>2.2000000000000002</v>
      </c>
      <c r="K53" s="68"/>
      <c r="L53" s="66">
        <v>2.1</v>
      </c>
      <c r="M53" s="68"/>
      <c r="N53" s="66">
        <v>2.2000000000000002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0.4</v>
      </c>
      <c r="G61" s="68"/>
      <c r="H61" s="66">
        <v>0.7</v>
      </c>
      <c r="I61" s="68"/>
      <c r="J61" s="66">
        <v>0.7</v>
      </c>
      <c r="K61" s="68"/>
      <c r="L61" s="66">
        <v>0.5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7.2</v>
      </c>
      <c r="E62" s="68"/>
      <c r="F62" s="66">
        <v>7.3</v>
      </c>
      <c r="G62" s="68"/>
      <c r="H62" s="66">
        <v>7.3</v>
      </c>
      <c r="I62" s="68"/>
      <c r="J62" s="66">
        <v>7.5</v>
      </c>
      <c r="K62" s="68"/>
      <c r="L62" s="66">
        <v>7.3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0.5</v>
      </c>
      <c r="E65" s="68"/>
      <c r="F65" s="66">
        <v>0</v>
      </c>
      <c r="G65" s="68"/>
      <c r="H65" s="66">
        <v>1.1000000000000001</v>
      </c>
      <c r="I65" s="68"/>
      <c r="J65" s="66">
        <v>1</v>
      </c>
      <c r="K65" s="68"/>
      <c r="L65" s="66">
        <v>0.7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>
        <v>0</v>
      </c>
      <c r="E75" s="65">
        <f t="shared" si="24"/>
        <v>0</v>
      </c>
      <c r="F75" s="94">
        <v>0</v>
      </c>
      <c r="G75" s="65">
        <f t="shared" si="25"/>
        <v>0</v>
      </c>
      <c r="H75" s="94">
        <v>0</v>
      </c>
      <c r="I75" s="65">
        <f t="shared" si="26"/>
        <v>0</v>
      </c>
      <c r="J75" s="94">
        <v>0</v>
      </c>
      <c r="K75" s="65">
        <f t="shared" si="27"/>
        <v>0</v>
      </c>
      <c r="L75" s="94">
        <v>0</v>
      </c>
      <c r="M75" s="65">
        <f t="shared" si="28"/>
        <v>0</v>
      </c>
      <c r="N75" s="94">
        <v>0</v>
      </c>
      <c r="O75" s="65">
        <f t="shared" si="29"/>
        <v>0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0.8</v>
      </c>
      <c r="I81" s="68"/>
      <c r="J81" s="68">
        <v>0.5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>
        <v>1.1000000000000001</v>
      </c>
      <c r="E87" s="68"/>
      <c r="F87" s="68">
        <v>0.9</v>
      </c>
      <c r="G87" s="68"/>
      <c r="H87" s="68">
        <v>1.9</v>
      </c>
      <c r="I87" s="68"/>
      <c r="J87" s="68">
        <v>1.9</v>
      </c>
      <c r="K87" s="68"/>
      <c r="L87" s="68">
        <v>1.3</v>
      </c>
      <c r="M87" s="68"/>
      <c r="N87" s="68">
        <v>0.8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7.2</v>
      </c>
      <c r="E91" s="68"/>
      <c r="F91" s="68">
        <v>7.3</v>
      </c>
      <c r="G91" s="68"/>
      <c r="H91" s="68">
        <v>7.3</v>
      </c>
      <c r="I91" s="68"/>
      <c r="J91" s="68">
        <v>7.5</v>
      </c>
      <c r="K91" s="68"/>
      <c r="L91" s="68">
        <v>7.3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5.3</v>
      </c>
      <c r="E100" s="68"/>
      <c r="F100" s="68">
        <v>5.3</v>
      </c>
      <c r="G100" s="68"/>
      <c r="H100" s="68">
        <v>4</v>
      </c>
      <c r="I100" s="68"/>
      <c r="J100" s="68">
        <v>4</v>
      </c>
      <c r="K100" s="68"/>
      <c r="L100" s="68">
        <v>4.2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>
        <v>0.19</v>
      </c>
      <c r="E101" s="68"/>
      <c r="F101" s="68">
        <v>0.19</v>
      </c>
      <c r="G101" s="68"/>
      <c r="H101" s="68">
        <v>0.09</v>
      </c>
      <c r="I101" s="68"/>
      <c r="J101" s="68">
        <v>0.09</v>
      </c>
      <c r="K101" s="68"/>
      <c r="L101" s="68">
        <v>7.0000000000000007E-2</v>
      </c>
      <c r="M101" s="68"/>
      <c r="N101" s="68">
        <v>7.0000000000000007E-2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45261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45261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45262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45263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45264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45265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45266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45267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45268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45269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45270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45271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45272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45273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45274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45275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45276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45277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45278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45279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45280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45281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45282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45283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45284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45285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45286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45287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45288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45289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45290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45291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2024-02-01T05:48:28Z</dcterms:modified>
</cp:coreProperties>
</file>