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5446F47B-E6AD-4738-82C6-212C09BC57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月報!$A$1:$AC$130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105" i="2" l="1"/>
  <c r="H105" i="2"/>
  <c r="G105" i="2"/>
  <c r="F105" i="2"/>
  <c r="E105" i="2"/>
  <c r="D105" i="2"/>
  <c r="I104" i="2"/>
  <c r="H104" i="2"/>
  <c r="G104" i="2"/>
  <c r="F104" i="2"/>
  <c r="E104" i="2"/>
  <c r="D104" i="2"/>
  <c r="I17" i="2" l="1"/>
  <c r="H17" i="2"/>
  <c r="G17" i="2"/>
  <c r="F17" i="2"/>
  <c r="E17" i="2"/>
  <c r="D17" i="2"/>
  <c r="I9" i="5" l="1"/>
  <c r="I11" i="5" s="1"/>
  <c r="G9" i="5"/>
  <c r="G12" i="5" s="1"/>
  <c r="E9" i="5"/>
  <c r="E11" i="5" s="1"/>
  <c r="O9" i="5"/>
  <c r="O11" i="5" s="1"/>
  <c r="M9" i="5"/>
  <c r="M11" i="5" s="1"/>
  <c r="K9" i="5"/>
  <c r="K12" i="5" s="1"/>
  <c r="M12" i="5"/>
  <c r="O12" i="5" l="1"/>
  <c r="G11" i="5"/>
  <c r="E12" i="5"/>
  <c r="I12" i="5"/>
  <c r="K11" i="5"/>
  <c r="I96" i="2"/>
  <c r="H96" i="2"/>
  <c r="G96" i="2"/>
  <c r="F96" i="2"/>
  <c r="E96" i="2"/>
  <c r="D96" i="2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I95" i="2" s="1"/>
  <c r="M95" i="5"/>
  <c r="K95" i="5"/>
  <c r="G95" i="2" s="1"/>
  <c r="I95" i="5"/>
  <c r="G95" i="5"/>
  <c r="E95" i="5"/>
  <c r="D95" i="2" s="1"/>
  <c r="H95" i="2"/>
  <c r="F95" i="2"/>
  <c r="E95" i="2"/>
  <c r="Y83" i="5" l="1"/>
  <c r="W83" i="5"/>
  <c r="U83" i="5"/>
  <c r="S83" i="5"/>
  <c r="Q83" i="5"/>
  <c r="O83" i="5"/>
  <c r="I83" i="2" s="1"/>
  <c r="M83" i="5"/>
  <c r="K83" i="5"/>
  <c r="G83" i="2" s="1"/>
  <c r="I83" i="5"/>
  <c r="F83" i="2" s="1"/>
  <c r="G83" i="5"/>
  <c r="E83" i="5"/>
  <c r="E83" i="2"/>
  <c r="D83" i="2"/>
  <c r="H83" i="2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I45" i="2" s="1"/>
  <c r="O44" i="5"/>
  <c r="I44" i="2" s="1"/>
  <c r="O42" i="5"/>
  <c r="O40" i="5"/>
  <c r="I40" i="2" s="1"/>
  <c r="O38" i="5"/>
  <c r="M45" i="5"/>
  <c r="M44" i="5"/>
  <c r="H44" i="2" s="1"/>
  <c r="M42" i="5"/>
  <c r="M40" i="5"/>
  <c r="H40" i="2" s="1"/>
  <c r="M38" i="5"/>
  <c r="H38" i="2" s="1"/>
  <c r="K45" i="5"/>
  <c r="K44" i="5"/>
  <c r="K42" i="5"/>
  <c r="K40" i="5"/>
  <c r="G40" i="2" s="1"/>
  <c r="K38" i="5"/>
  <c r="G38" i="2" s="1"/>
  <c r="I45" i="5"/>
  <c r="I44" i="5"/>
  <c r="I42" i="5"/>
  <c r="I40" i="5"/>
  <c r="I38" i="5"/>
  <c r="F38" i="2" s="1"/>
  <c r="G45" i="5"/>
  <c r="E45" i="2" s="1"/>
  <c r="G44" i="5"/>
  <c r="G42" i="5"/>
  <c r="G40" i="5"/>
  <c r="E40" i="2" s="1"/>
  <c r="G38" i="5"/>
  <c r="E38" i="2" s="1"/>
  <c r="E45" i="5"/>
  <c r="E44" i="5"/>
  <c r="E40" i="5"/>
  <c r="D40" i="2" s="1"/>
  <c r="E38" i="5"/>
  <c r="D38" i="2" s="1"/>
  <c r="I38" i="2"/>
  <c r="H45" i="2"/>
  <c r="G45" i="2"/>
  <c r="G44" i="2"/>
  <c r="F45" i="2"/>
  <c r="F44" i="2"/>
  <c r="F40" i="2"/>
  <c r="E44" i="2"/>
  <c r="D45" i="2"/>
  <c r="D44" i="2"/>
  <c r="I101" i="2" l="1"/>
  <c r="D64" i="2" l="1"/>
  <c r="G64" i="2"/>
  <c r="I64" i="2" l="1"/>
  <c r="H64" i="2"/>
  <c r="F64" i="2"/>
  <c r="E64" i="2"/>
  <c r="E100" i="2" l="1"/>
  <c r="D100" i="2"/>
  <c r="F100" i="2"/>
  <c r="H100" i="2" l="1"/>
  <c r="G100" i="2"/>
  <c r="I100" i="2" l="1"/>
  <c r="I63" i="2" l="1"/>
  <c r="H63" i="2"/>
  <c r="G63" i="2"/>
  <c r="F63" i="2"/>
  <c r="E63" i="2"/>
  <c r="D63" i="2"/>
  <c r="H101" i="2" l="1"/>
  <c r="G101" i="2"/>
  <c r="F101" i="2"/>
  <c r="E101" i="2"/>
  <c r="D101" i="2"/>
  <c r="O96" i="5"/>
  <c r="M96" i="5"/>
  <c r="K96" i="5"/>
  <c r="I96" i="5"/>
  <c r="G96" i="5"/>
  <c r="E96" i="5"/>
  <c r="I49" i="2" l="1"/>
  <c r="H49" i="2"/>
  <c r="G49" i="2"/>
  <c r="F49" i="2"/>
  <c r="E49" i="2"/>
  <c r="D49" i="2"/>
  <c r="I80" i="2" l="1"/>
  <c r="H80" i="2" l="1"/>
  <c r="G80" i="2" l="1"/>
  <c r="F80" i="2" l="1"/>
  <c r="E80" i="2" l="1"/>
  <c r="D80" i="2" l="1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I92" i="2" l="1"/>
  <c r="H92" i="2"/>
  <c r="G92" i="2"/>
  <c r="F92" i="2"/>
  <c r="E92" i="2"/>
  <c r="D92" i="2"/>
  <c r="I82" i="2"/>
  <c r="H82" i="2"/>
  <c r="G82" i="2"/>
  <c r="F82" i="2"/>
  <c r="E82" i="2"/>
  <c r="D82" i="2"/>
  <c r="I54" i="2"/>
  <c r="H54" i="2"/>
  <c r="G54" i="2"/>
  <c r="F54" i="2"/>
  <c r="E54" i="2"/>
  <c r="D54" i="2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I75" i="2" s="1"/>
  <c r="O74" i="5"/>
  <c r="I74" i="2" s="1"/>
  <c r="O73" i="5"/>
  <c r="I73" i="2" s="1"/>
  <c r="O72" i="5"/>
  <c r="I72" i="2" s="1"/>
  <c r="O71" i="5"/>
  <c r="I71" i="2" s="1"/>
  <c r="O70" i="5"/>
  <c r="I70" i="2" s="1"/>
  <c r="M75" i="5"/>
  <c r="H75" i="2" s="1"/>
  <c r="M74" i="5"/>
  <c r="M73" i="5"/>
  <c r="H73" i="2" s="1"/>
  <c r="M72" i="5"/>
  <c r="M71" i="5"/>
  <c r="H71" i="2" s="1"/>
  <c r="M70" i="5"/>
  <c r="H70" i="2" s="1"/>
  <c r="I99" i="2"/>
  <c r="H99" i="2"/>
  <c r="G99" i="2"/>
  <c r="F99" i="2"/>
  <c r="E99" i="2"/>
  <c r="D99" i="2"/>
  <c r="I98" i="2"/>
  <c r="H98" i="2"/>
  <c r="G98" i="2"/>
  <c r="F98" i="2"/>
  <c r="E98" i="2"/>
  <c r="D98" i="2"/>
  <c r="I94" i="2"/>
  <c r="H94" i="2"/>
  <c r="G94" i="2"/>
  <c r="F94" i="2"/>
  <c r="E94" i="2"/>
  <c r="D94" i="2"/>
  <c r="I93" i="2"/>
  <c r="H93" i="2"/>
  <c r="G93" i="2"/>
  <c r="F93" i="2"/>
  <c r="E93" i="2"/>
  <c r="D93" i="2"/>
  <c r="I91" i="2"/>
  <c r="H91" i="2"/>
  <c r="G91" i="2"/>
  <c r="F91" i="2"/>
  <c r="E91" i="2"/>
  <c r="D91" i="2"/>
  <c r="I90" i="2"/>
  <c r="H90" i="2"/>
  <c r="G90" i="2"/>
  <c r="F90" i="2"/>
  <c r="E90" i="2"/>
  <c r="D90" i="2"/>
  <c r="I89" i="2"/>
  <c r="H89" i="2"/>
  <c r="G89" i="2"/>
  <c r="F89" i="2"/>
  <c r="E89" i="2"/>
  <c r="D89" i="2"/>
  <c r="I88" i="2"/>
  <c r="H88" i="2"/>
  <c r="G88" i="2"/>
  <c r="F88" i="2"/>
  <c r="E88" i="2"/>
  <c r="D88" i="2"/>
  <c r="I87" i="2"/>
  <c r="H87" i="2"/>
  <c r="G87" i="2"/>
  <c r="F87" i="2"/>
  <c r="E87" i="2"/>
  <c r="D87" i="2"/>
  <c r="I86" i="2"/>
  <c r="H86" i="2"/>
  <c r="G86" i="2"/>
  <c r="F86" i="2"/>
  <c r="E86" i="2"/>
  <c r="D86" i="2"/>
  <c r="I85" i="2"/>
  <c r="H85" i="2"/>
  <c r="G85" i="2"/>
  <c r="F85" i="2"/>
  <c r="E85" i="2"/>
  <c r="D85" i="2"/>
  <c r="I84" i="2"/>
  <c r="H84" i="2"/>
  <c r="G84" i="2"/>
  <c r="F84" i="2"/>
  <c r="E84" i="2"/>
  <c r="D84" i="2"/>
  <c r="I81" i="2"/>
  <c r="H81" i="2"/>
  <c r="G81" i="2"/>
  <c r="F81" i="2"/>
  <c r="E81" i="2"/>
  <c r="D81" i="2"/>
  <c r="I79" i="2"/>
  <c r="H79" i="2"/>
  <c r="G79" i="2"/>
  <c r="F79" i="2"/>
  <c r="E79" i="2"/>
  <c r="D79" i="2"/>
  <c r="I78" i="2"/>
  <c r="H78" i="2"/>
  <c r="G78" i="2"/>
  <c r="F78" i="2"/>
  <c r="E78" i="2"/>
  <c r="D78" i="2"/>
  <c r="H74" i="2"/>
  <c r="H72" i="2"/>
  <c r="I66" i="2"/>
  <c r="H66" i="2"/>
  <c r="G66" i="2"/>
  <c r="F66" i="2"/>
  <c r="E66" i="2"/>
  <c r="D66" i="2"/>
  <c r="I65" i="2"/>
  <c r="H65" i="2"/>
  <c r="G65" i="2"/>
  <c r="F65" i="2"/>
  <c r="E65" i="2"/>
  <c r="D65" i="2"/>
  <c r="I62" i="2"/>
  <c r="H62" i="2"/>
  <c r="G62" i="2"/>
  <c r="F62" i="2"/>
  <c r="E62" i="2"/>
  <c r="D62" i="2"/>
  <c r="I61" i="2"/>
  <c r="H61" i="2"/>
  <c r="G61" i="2"/>
  <c r="F61" i="2"/>
  <c r="E61" i="2"/>
  <c r="D61" i="2"/>
  <c r="I59" i="2"/>
  <c r="H59" i="2"/>
  <c r="G59" i="2"/>
  <c r="F59" i="2"/>
  <c r="E59" i="2"/>
  <c r="D59" i="2"/>
  <c r="I56" i="2"/>
  <c r="H56" i="2"/>
  <c r="G56" i="2"/>
  <c r="F56" i="2"/>
  <c r="E56" i="2"/>
  <c r="D56" i="2"/>
  <c r="I55" i="2"/>
  <c r="H55" i="2"/>
  <c r="G55" i="2"/>
  <c r="F55" i="2"/>
  <c r="E55" i="2"/>
  <c r="D55" i="2"/>
  <c r="I53" i="2"/>
  <c r="H53" i="2"/>
  <c r="G53" i="2"/>
  <c r="F53" i="2"/>
  <c r="E53" i="2"/>
  <c r="D53" i="2"/>
  <c r="I51" i="2"/>
  <c r="H51" i="2"/>
  <c r="G51" i="2"/>
  <c r="F51" i="2"/>
  <c r="E51" i="2"/>
  <c r="D51" i="2"/>
  <c r="I46" i="2"/>
  <c r="H46" i="2"/>
  <c r="G46" i="2"/>
  <c r="F46" i="2"/>
  <c r="E46" i="2"/>
  <c r="D46" i="2"/>
  <c r="I43" i="2"/>
  <c r="H43" i="2"/>
  <c r="G43" i="2"/>
  <c r="F43" i="2"/>
  <c r="E43" i="2"/>
  <c r="D43" i="2"/>
  <c r="I41" i="2"/>
  <c r="H41" i="2"/>
  <c r="G41" i="2"/>
  <c r="F41" i="2"/>
  <c r="E41" i="2"/>
  <c r="D41" i="2"/>
  <c r="I39" i="2"/>
  <c r="H39" i="2"/>
  <c r="G39" i="2"/>
  <c r="F39" i="2"/>
  <c r="E39" i="2"/>
  <c r="D39" i="2"/>
  <c r="I37" i="2"/>
  <c r="H37" i="2"/>
  <c r="G37" i="2"/>
  <c r="F37" i="2"/>
  <c r="E37" i="2"/>
  <c r="D37" i="2"/>
  <c r="I36" i="2"/>
  <c r="H36" i="2"/>
  <c r="G36" i="2"/>
  <c r="F36" i="2"/>
  <c r="E36" i="2"/>
  <c r="D36" i="2"/>
  <c r="I27" i="2"/>
  <c r="H27" i="2"/>
  <c r="G27" i="2"/>
  <c r="F27" i="2"/>
  <c r="E27" i="2"/>
  <c r="D27" i="2"/>
  <c r="I26" i="2"/>
  <c r="H26" i="2"/>
  <c r="G26" i="2"/>
  <c r="F26" i="2"/>
  <c r="E26" i="2"/>
  <c r="D26" i="2"/>
  <c r="I24" i="2"/>
  <c r="H24" i="2"/>
  <c r="G24" i="2"/>
  <c r="F24" i="2"/>
  <c r="E24" i="2"/>
  <c r="D24" i="2"/>
  <c r="I16" i="2"/>
  <c r="H16" i="2"/>
  <c r="G16" i="2"/>
  <c r="F16" i="2"/>
  <c r="E16" i="2"/>
  <c r="D16" i="2"/>
  <c r="I14" i="2"/>
  <c r="I13" i="2"/>
  <c r="H14" i="2"/>
  <c r="H13" i="2"/>
  <c r="G14" i="2"/>
  <c r="G13" i="2"/>
  <c r="F14" i="2"/>
  <c r="F13" i="2"/>
  <c r="E14" i="2"/>
  <c r="E13" i="2"/>
  <c r="D14" i="2"/>
  <c r="D13" i="2"/>
  <c r="Q10" i="5"/>
  <c r="U10" i="5"/>
  <c r="S10" i="5"/>
  <c r="O10" i="5"/>
  <c r="I10" i="2" s="1"/>
  <c r="M10" i="5"/>
  <c r="H10" i="2" s="1"/>
  <c r="K10" i="5"/>
  <c r="G10" i="2" s="1"/>
  <c r="I10" i="5"/>
  <c r="F10" i="2" s="1"/>
  <c r="G10" i="5"/>
  <c r="E10" i="2" s="1"/>
  <c r="E10" i="5"/>
  <c r="D10" i="2" s="1"/>
  <c r="D9" i="2" l="1"/>
  <c r="D12" i="2"/>
  <c r="D11" i="2"/>
  <c r="F12" i="2"/>
  <c r="F9" i="2"/>
  <c r="F11" i="2"/>
  <c r="E12" i="2"/>
  <c r="E9" i="2"/>
  <c r="E11" i="2"/>
  <c r="G11" i="2"/>
  <c r="G12" i="2"/>
  <c r="G9" i="2"/>
  <c r="I12" i="2"/>
  <c r="I9" i="2"/>
  <c r="I11" i="2"/>
  <c r="H11" i="2"/>
  <c r="H12" i="2"/>
  <c r="H9" i="2"/>
  <c r="M18" i="5"/>
  <c r="H18" i="2" s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I60" i="2" s="1"/>
  <c r="O58" i="5"/>
  <c r="I58" i="2" s="1"/>
  <c r="O57" i="5"/>
  <c r="I57" i="2" s="1"/>
  <c r="O52" i="5"/>
  <c r="I52" i="2" s="1"/>
  <c r="O50" i="5"/>
  <c r="I50" i="2" s="1"/>
  <c r="O49" i="5"/>
  <c r="O48" i="5"/>
  <c r="I48" i="2" s="1"/>
  <c r="O47" i="5"/>
  <c r="I47" i="2" s="1"/>
  <c r="I42" i="2"/>
  <c r="O35" i="5"/>
  <c r="I35" i="2" s="1"/>
  <c r="O34" i="5"/>
  <c r="I34" i="2" s="1"/>
  <c r="O33" i="5"/>
  <c r="I33" i="2" s="1"/>
  <c r="O32" i="5"/>
  <c r="I32" i="2" s="1"/>
  <c r="O31" i="5"/>
  <c r="I31" i="2" s="1"/>
  <c r="O30" i="5"/>
  <c r="I30" i="2" s="1"/>
  <c r="O29" i="5"/>
  <c r="I29" i="2" s="1"/>
  <c r="O28" i="5"/>
  <c r="I28" i="2" s="1"/>
  <c r="O25" i="5"/>
  <c r="I25" i="2" s="1"/>
  <c r="O23" i="5"/>
  <c r="I23" i="2" s="1"/>
  <c r="O22" i="5"/>
  <c r="I22" i="2" s="1"/>
  <c r="O21" i="5"/>
  <c r="I21" i="2" s="1"/>
  <c r="O20" i="5"/>
  <c r="I20" i="2" s="1"/>
  <c r="O19" i="5"/>
  <c r="I19" i="2" s="1"/>
  <c r="O18" i="5"/>
  <c r="I18" i="2" s="1"/>
  <c r="M60" i="5"/>
  <c r="H60" i="2" s="1"/>
  <c r="M58" i="5"/>
  <c r="H58" i="2" s="1"/>
  <c r="M57" i="5"/>
  <c r="H57" i="2" s="1"/>
  <c r="M52" i="5"/>
  <c r="H52" i="2" s="1"/>
  <c r="M50" i="5"/>
  <c r="H50" i="2" s="1"/>
  <c r="M49" i="5"/>
  <c r="M48" i="5"/>
  <c r="H48" i="2" s="1"/>
  <c r="M47" i="5"/>
  <c r="H47" i="2" s="1"/>
  <c r="H42" i="2"/>
  <c r="M35" i="5"/>
  <c r="H35" i="2" s="1"/>
  <c r="M34" i="5"/>
  <c r="H34" i="2" s="1"/>
  <c r="M33" i="5"/>
  <c r="H33" i="2" s="1"/>
  <c r="M32" i="5"/>
  <c r="H32" i="2" s="1"/>
  <c r="M31" i="5"/>
  <c r="H31" i="2" s="1"/>
  <c r="M30" i="5"/>
  <c r="H30" i="2" s="1"/>
  <c r="M29" i="5"/>
  <c r="H29" i="2" s="1"/>
  <c r="M28" i="5"/>
  <c r="H28" i="2" s="1"/>
  <c r="M25" i="5"/>
  <c r="H25" i="2" s="1"/>
  <c r="M23" i="5"/>
  <c r="H23" i="2" s="1"/>
  <c r="M22" i="5"/>
  <c r="H22" i="2" s="1"/>
  <c r="M21" i="5"/>
  <c r="H21" i="2" s="1"/>
  <c r="M20" i="5"/>
  <c r="H20" i="2" s="1"/>
  <c r="M19" i="5"/>
  <c r="H19" i="2" s="1"/>
  <c r="E49" i="5" l="1"/>
  <c r="G75" i="5" l="1"/>
  <c r="E75" i="2" s="1"/>
  <c r="G74" i="5"/>
  <c r="E74" i="2" s="1"/>
  <c r="G73" i="5"/>
  <c r="E73" i="2" s="1"/>
  <c r="G72" i="5"/>
  <c r="E72" i="2" s="1"/>
  <c r="G71" i="5"/>
  <c r="E71" i="2" s="1"/>
  <c r="G70" i="5"/>
  <c r="E70" i="2" s="1"/>
  <c r="G60" i="5" l="1"/>
  <c r="E60" i="2" s="1"/>
  <c r="G58" i="5"/>
  <c r="E58" i="2" s="1"/>
  <c r="G57" i="5"/>
  <c r="E57" i="2" s="1"/>
  <c r="G52" i="5"/>
  <c r="E52" i="2" s="1"/>
  <c r="G50" i="5"/>
  <c r="E50" i="2" s="1"/>
  <c r="G49" i="5"/>
  <c r="G48" i="5"/>
  <c r="E48" i="2" s="1"/>
  <c r="G47" i="5"/>
  <c r="E47" i="2" s="1"/>
  <c r="E42" i="2"/>
  <c r="G35" i="5"/>
  <c r="E35" i="2" s="1"/>
  <c r="G34" i="5"/>
  <c r="E34" i="2" s="1"/>
  <c r="G33" i="5"/>
  <c r="E33" i="2" s="1"/>
  <c r="G32" i="5"/>
  <c r="E32" i="2" s="1"/>
  <c r="G31" i="5"/>
  <c r="E31" i="2" s="1"/>
  <c r="G30" i="5"/>
  <c r="E30" i="2" s="1"/>
  <c r="G29" i="5"/>
  <c r="E29" i="2" s="1"/>
  <c r="G28" i="5"/>
  <c r="E28" i="2" s="1"/>
  <c r="G25" i="5"/>
  <c r="E25" i="2" s="1"/>
  <c r="G23" i="5"/>
  <c r="E23" i="2" s="1"/>
  <c r="G22" i="5"/>
  <c r="E22" i="2" s="1"/>
  <c r="G21" i="5"/>
  <c r="E21" i="2" s="1"/>
  <c r="G20" i="5"/>
  <c r="E20" i="2" s="1"/>
  <c r="G19" i="5"/>
  <c r="E19" i="2" s="1"/>
  <c r="G18" i="5"/>
  <c r="E18" i="2" s="1"/>
  <c r="E75" i="5" l="1"/>
  <c r="D75" i="2" s="1"/>
  <c r="E74" i="5"/>
  <c r="D74" i="2" s="1"/>
  <c r="E73" i="5"/>
  <c r="D73" i="2" s="1"/>
  <c r="E72" i="5"/>
  <c r="D72" i="2" s="1"/>
  <c r="E71" i="5"/>
  <c r="D71" i="2" s="1"/>
  <c r="E70" i="5"/>
  <c r="D70" i="2" s="1"/>
  <c r="E60" i="5"/>
  <c r="D60" i="2" s="1"/>
  <c r="E58" i="5"/>
  <c r="D58" i="2" s="1"/>
  <c r="E57" i="5"/>
  <c r="D57" i="2" s="1"/>
  <c r="E52" i="5"/>
  <c r="D52" i="2" s="1"/>
  <c r="E50" i="5"/>
  <c r="D50" i="2" s="1"/>
  <c r="E48" i="5"/>
  <c r="D48" i="2" s="1"/>
  <c r="E47" i="5"/>
  <c r="D47" i="2" s="1"/>
  <c r="E42" i="5"/>
  <c r="D42" i="2" s="1"/>
  <c r="E35" i="5"/>
  <c r="D35" i="2" s="1"/>
  <c r="E34" i="5"/>
  <c r="D34" i="2" s="1"/>
  <c r="E33" i="5"/>
  <c r="D33" i="2" s="1"/>
  <c r="E32" i="5"/>
  <c r="D32" i="2" s="1"/>
  <c r="E31" i="5"/>
  <c r="D31" i="2" s="1"/>
  <c r="E30" i="5"/>
  <c r="D30" i="2" s="1"/>
  <c r="E29" i="5"/>
  <c r="D29" i="2" s="1"/>
  <c r="E28" i="5"/>
  <c r="D28" i="2" s="1"/>
  <c r="E25" i="5"/>
  <c r="D25" i="2" s="1"/>
  <c r="E23" i="5"/>
  <c r="D23" i="2" s="1"/>
  <c r="E22" i="5"/>
  <c r="D22" i="2" s="1"/>
  <c r="E21" i="5"/>
  <c r="D21" i="2" s="1"/>
  <c r="E20" i="5"/>
  <c r="D20" i="2" s="1"/>
  <c r="E19" i="5"/>
  <c r="D19" i="2" s="1"/>
  <c r="E18" i="5"/>
  <c r="D18" i="2" s="1"/>
  <c r="I18" i="5"/>
  <c r="F18" i="2" s="1"/>
  <c r="K18" i="5" l="1"/>
  <c r="G18" i="2" s="1"/>
  <c r="K75" i="5"/>
  <c r="G75" i="2" s="1"/>
  <c r="K74" i="5"/>
  <c r="G74" i="2" s="1"/>
  <c r="K73" i="5"/>
  <c r="G73" i="2" s="1"/>
  <c r="K72" i="5"/>
  <c r="G72" i="2" s="1"/>
  <c r="K71" i="5"/>
  <c r="G71" i="2" s="1"/>
  <c r="K70" i="5"/>
  <c r="G70" i="2" s="1"/>
  <c r="K60" i="5"/>
  <c r="G60" i="2" s="1"/>
  <c r="K58" i="5"/>
  <c r="G58" i="2" s="1"/>
  <c r="K57" i="5"/>
  <c r="G57" i="2" s="1"/>
  <c r="K52" i="5"/>
  <c r="G52" i="2" s="1"/>
  <c r="K50" i="5"/>
  <c r="G50" i="2" s="1"/>
  <c r="K49" i="5"/>
  <c r="K48" i="5"/>
  <c r="G48" i="2" s="1"/>
  <c r="K47" i="5"/>
  <c r="G47" i="2" s="1"/>
  <c r="G42" i="2"/>
  <c r="K35" i="5"/>
  <c r="G35" i="2" s="1"/>
  <c r="K34" i="5"/>
  <c r="G34" i="2" s="1"/>
  <c r="K33" i="5"/>
  <c r="G33" i="2" s="1"/>
  <c r="K32" i="5"/>
  <c r="G32" i="2" s="1"/>
  <c r="K31" i="5"/>
  <c r="G31" i="2" s="1"/>
  <c r="K30" i="5"/>
  <c r="G30" i="2" s="1"/>
  <c r="K29" i="5"/>
  <c r="G29" i="2" s="1"/>
  <c r="K28" i="5"/>
  <c r="G28" i="2" s="1"/>
  <c r="K25" i="5"/>
  <c r="G25" i="2" s="1"/>
  <c r="K23" i="5"/>
  <c r="G23" i="2" s="1"/>
  <c r="K22" i="5"/>
  <c r="G22" i="2" s="1"/>
  <c r="K21" i="5"/>
  <c r="G21" i="2" s="1"/>
  <c r="K20" i="5"/>
  <c r="G20" i="2" s="1"/>
  <c r="K19" i="5"/>
  <c r="G19" i="2" s="1"/>
  <c r="I75" i="5" l="1"/>
  <c r="F75" i="2" s="1"/>
  <c r="I74" i="5"/>
  <c r="F74" i="2" s="1"/>
  <c r="I73" i="5"/>
  <c r="F73" i="2" s="1"/>
  <c r="I72" i="5"/>
  <c r="F72" i="2" s="1"/>
  <c r="I71" i="5"/>
  <c r="F71" i="2" s="1"/>
  <c r="I70" i="5"/>
  <c r="F70" i="2" s="1"/>
  <c r="I60" i="5"/>
  <c r="F60" i="2" s="1"/>
  <c r="I58" i="5"/>
  <c r="F58" i="2" s="1"/>
  <c r="I57" i="5"/>
  <c r="F57" i="2" s="1"/>
  <c r="I52" i="5"/>
  <c r="F52" i="2" s="1"/>
  <c r="I50" i="5"/>
  <c r="F50" i="2" s="1"/>
  <c r="I49" i="5"/>
  <c r="I48" i="5"/>
  <c r="F48" i="2" s="1"/>
  <c r="I47" i="5"/>
  <c r="F47" i="2" s="1"/>
  <c r="F42" i="2"/>
  <c r="I35" i="5"/>
  <c r="F35" i="2" s="1"/>
  <c r="I34" i="5"/>
  <c r="F34" i="2" s="1"/>
  <c r="I33" i="5"/>
  <c r="F33" i="2" s="1"/>
  <c r="I32" i="5"/>
  <c r="F32" i="2" s="1"/>
  <c r="I31" i="5"/>
  <c r="F31" i="2" s="1"/>
  <c r="I30" i="5"/>
  <c r="F30" i="2" s="1"/>
  <c r="I29" i="5"/>
  <c r="F29" i="2" s="1"/>
  <c r="I28" i="5"/>
  <c r="F28" i="2" s="1"/>
  <c r="I25" i="5"/>
  <c r="F25" i="2" s="1"/>
  <c r="I23" i="5"/>
  <c r="F23" i="2" s="1"/>
  <c r="I22" i="5"/>
  <c r="F22" i="2" s="1"/>
  <c r="I21" i="5"/>
  <c r="F21" i="2" s="1"/>
  <c r="I20" i="5"/>
  <c r="F20" i="2" s="1"/>
  <c r="I19" i="5"/>
  <c r="F19" i="2" s="1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  <c r="L9" i="2" l="1"/>
  <c r="L19" i="2" s="1"/>
  <c r="M9" i="2"/>
  <c r="M29" i="2" s="1"/>
  <c r="N9" i="2"/>
  <c r="N14" i="2" s="1"/>
  <c r="O9" i="2"/>
  <c r="O42" i="2" s="1"/>
  <c r="P9" i="2"/>
  <c r="P16" i="2" s="1"/>
  <c r="Q9" i="2"/>
  <c r="Q63" i="2" s="1"/>
  <c r="R9" i="2"/>
  <c r="R37" i="2" s="1"/>
  <c r="S9" i="2"/>
  <c r="S38" i="2" s="1"/>
  <c r="T9" i="2"/>
  <c r="T40" i="2" s="1"/>
  <c r="U9" i="2"/>
  <c r="U32" i="2" s="1"/>
  <c r="V9" i="2"/>
  <c r="V46" i="2" s="1"/>
  <c r="W9" i="2"/>
  <c r="X9" i="2"/>
  <c r="X49" i="2" s="1"/>
  <c r="Y9" i="2"/>
  <c r="Y51" i="2" s="1"/>
  <c r="Z9" i="2"/>
  <c r="Z23" i="2" s="1"/>
  <c r="AA9" i="2"/>
  <c r="AA40" i="2" s="1"/>
  <c r="AB9" i="2"/>
  <c r="AB22" i="2" s="1"/>
  <c r="W13" i="2"/>
  <c r="W14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L49" i="2"/>
  <c r="W49" i="2"/>
  <c r="M50" i="2"/>
  <c r="W50" i="2"/>
  <c r="W51" i="2"/>
  <c r="W52" i="2"/>
  <c r="Y52" i="2"/>
  <c r="W53" i="2"/>
  <c r="W54" i="2"/>
  <c r="W55" i="2"/>
  <c r="P56" i="2"/>
  <c r="W56" i="2"/>
  <c r="W57" i="2"/>
  <c r="W58" i="2"/>
  <c r="W59" i="2"/>
  <c r="W60" i="2"/>
  <c r="V61" i="2"/>
  <c r="W61" i="2"/>
  <c r="W62" i="2"/>
  <c r="W63" i="2"/>
  <c r="P64" i="2"/>
  <c r="W64" i="2"/>
  <c r="AB64" i="2"/>
  <c r="W65" i="2"/>
  <c r="W66" i="2"/>
  <c r="S65" i="2" l="1"/>
  <c r="S48" i="2"/>
  <c r="R66" i="2"/>
  <c r="Y43" i="2"/>
  <c r="R25" i="2"/>
  <c r="N64" i="2"/>
  <c r="O37" i="2"/>
  <c r="Z52" i="2"/>
  <c r="N41" i="2"/>
  <c r="T65" i="2"/>
  <c r="Z58" i="2"/>
  <c r="X55" i="2"/>
  <c r="X66" i="2"/>
  <c r="R65" i="2"/>
  <c r="P55" i="2"/>
  <c r="V16" i="2"/>
  <c r="AB66" i="2"/>
  <c r="AB56" i="2"/>
  <c r="AB48" i="2"/>
  <c r="P41" i="2"/>
  <c r="AB24" i="2"/>
  <c r="V20" i="2"/>
  <c r="Y66" i="2"/>
  <c r="L66" i="2"/>
  <c r="L65" i="2"/>
  <c r="M64" i="2"/>
  <c r="V59" i="2"/>
  <c r="P32" i="2"/>
  <c r="V65" i="2"/>
  <c r="AB62" i="2"/>
  <c r="P61" i="2"/>
  <c r="AB52" i="2"/>
  <c r="AB47" i="2"/>
  <c r="P35" i="2"/>
  <c r="V66" i="2"/>
  <c r="V64" i="2"/>
  <c r="Y62" i="2"/>
  <c r="AB60" i="2"/>
  <c r="V58" i="2"/>
  <c r="V30" i="2"/>
  <c r="P30" i="2"/>
  <c r="P66" i="2"/>
  <c r="P62" i="2"/>
  <c r="Y54" i="2"/>
  <c r="M65" i="2"/>
  <c r="O63" i="2"/>
  <c r="Y61" i="2"/>
  <c r="T60" i="2"/>
  <c r="Y55" i="2"/>
  <c r="S54" i="2"/>
  <c r="M13" i="2"/>
  <c r="O66" i="2"/>
  <c r="S66" i="2"/>
  <c r="O64" i="2"/>
  <c r="N57" i="2"/>
  <c r="N51" i="2"/>
  <c r="Z45" i="2"/>
  <c r="M34" i="2"/>
  <c r="AA64" i="2"/>
  <c r="N66" i="2"/>
  <c r="S63" i="2"/>
  <c r="O62" i="2"/>
  <c r="N56" i="2"/>
  <c r="T49" i="2"/>
  <c r="N32" i="2"/>
  <c r="T64" i="2"/>
  <c r="Z60" i="2"/>
  <c r="Z57" i="2"/>
  <c r="T53" i="2"/>
  <c r="T52" i="2"/>
  <c r="Z38" i="2"/>
  <c r="Z35" i="2"/>
  <c r="N33" i="2"/>
  <c r="T63" i="2"/>
  <c r="Y60" i="2"/>
  <c r="N59" i="2"/>
  <c r="Y57" i="2"/>
  <c r="Z54" i="2"/>
  <c r="S53" i="2"/>
  <c r="N52" i="2"/>
  <c r="N48" i="2"/>
  <c r="T46" i="2"/>
  <c r="U44" i="2"/>
  <c r="AA66" i="2"/>
  <c r="U66" i="2"/>
  <c r="N62" i="2"/>
  <c r="N61" i="2"/>
  <c r="Z59" i="2"/>
  <c r="T47" i="2"/>
  <c r="T45" i="2"/>
  <c r="T43" i="2"/>
  <c r="Z39" i="2"/>
  <c r="Z36" i="2"/>
  <c r="T24" i="2"/>
  <c r="Z13" i="2"/>
  <c r="Z66" i="2"/>
  <c r="T66" i="2"/>
  <c r="M66" i="2"/>
  <c r="Z63" i="2"/>
  <c r="Z62" i="2"/>
  <c r="Z61" i="2"/>
  <c r="T58" i="2"/>
  <c r="Z56" i="2"/>
  <c r="N50" i="2"/>
  <c r="N47" i="2"/>
  <c r="Z44" i="2"/>
  <c r="O27" i="2"/>
  <c r="U64" i="2"/>
  <c r="AA63" i="2"/>
  <c r="AB57" i="2"/>
  <c r="O54" i="2"/>
  <c r="AA52" i="2"/>
  <c r="AB49" i="2"/>
  <c r="AA37" i="2"/>
  <c r="V36" i="2"/>
  <c r="AA25" i="2"/>
  <c r="AA61" i="2"/>
  <c r="O61" i="2"/>
  <c r="AB58" i="2"/>
  <c r="AB53" i="2"/>
  <c r="AB46" i="2"/>
  <c r="AB39" i="2"/>
  <c r="V33" i="2"/>
  <c r="V28" i="2"/>
  <c r="P23" i="2"/>
  <c r="AB59" i="2"/>
  <c r="AB50" i="2"/>
  <c r="U49" i="2"/>
  <c r="V42" i="2"/>
  <c r="V37" i="2"/>
  <c r="P33" i="2"/>
  <c r="P28" i="2"/>
  <c r="V18" i="2"/>
  <c r="V63" i="2"/>
  <c r="Q61" i="2"/>
  <c r="V55" i="2"/>
  <c r="V54" i="2"/>
  <c r="V53" i="2"/>
  <c r="AB51" i="2"/>
  <c r="V49" i="2"/>
  <c r="V45" i="2"/>
  <c r="V44" i="2"/>
  <c r="V43" i="2"/>
  <c r="P42" i="2"/>
  <c r="AB40" i="2"/>
  <c r="V38" i="2"/>
  <c r="P37" i="2"/>
  <c r="P36" i="2"/>
  <c r="V34" i="2"/>
  <c r="AB31" i="2"/>
  <c r="M28" i="2"/>
  <c r="S26" i="2"/>
  <c r="V22" i="2"/>
  <c r="AB19" i="2"/>
  <c r="AB17" i="2"/>
  <c r="V14" i="2"/>
  <c r="P50" i="2"/>
  <c r="V48" i="2"/>
  <c r="V47" i="2"/>
  <c r="AB41" i="2"/>
  <c r="V39" i="2"/>
  <c r="P38" i="2"/>
  <c r="P34" i="2"/>
  <c r="AB32" i="2"/>
  <c r="V29" i="2"/>
  <c r="AB23" i="2"/>
  <c r="P22" i="2"/>
  <c r="V57" i="2"/>
  <c r="P46" i="2"/>
  <c r="P45" i="2"/>
  <c r="P44" i="2"/>
  <c r="P43" i="2"/>
  <c r="V40" i="2"/>
  <c r="P39" i="2"/>
  <c r="AB37" i="2"/>
  <c r="AB36" i="2"/>
  <c r="V31" i="2"/>
  <c r="P29" i="2"/>
  <c r="V27" i="2"/>
  <c r="V19" i="2"/>
  <c r="AB16" i="2"/>
  <c r="P59" i="2"/>
  <c r="AB54" i="2"/>
  <c r="P54" i="2"/>
  <c r="V51" i="2"/>
  <c r="Q66" i="2"/>
  <c r="AB65" i="2"/>
  <c r="P63" i="2"/>
  <c r="V62" i="2"/>
  <c r="P60" i="2"/>
  <c r="P58" i="2"/>
  <c r="P53" i="2"/>
  <c r="V52" i="2"/>
  <c r="P51" i="2"/>
  <c r="P49" i="2"/>
  <c r="P48" i="2"/>
  <c r="P47" i="2"/>
  <c r="AB45" i="2"/>
  <c r="AB44" i="2"/>
  <c r="AB43" i="2"/>
  <c r="AB42" i="2"/>
  <c r="V41" i="2"/>
  <c r="P40" i="2"/>
  <c r="AB38" i="2"/>
  <c r="V35" i="2"/>
  <c r="V32" i="2"/>
  <c r="P27" i="2"/>
  <c r="V23" i="2"/>
  <c r="V21" i="2"/>
  <c r="M19" i="2"/>
  <c r="V13" i="2"/>
  <c r="Q62" i="2"/>
  <c r="S58" i="2"/>
  <c r="S56" i="2"/>
  <c r="S52" i="2"/>
  <c r="M49" i="2"/>
  <c r="N46" i="2"/>
  <c r="Y33" i="2"/>
  <c r="N20" i="2"/>
  <c r="Q57" i="2"/>
  <c r="Q56" i="2"/>
  <c r="N43" i="2"/>
  <c r="T39" i="2"/>
  <c r="T38" i="2"/>
  <c r="S36" i="2"/>
  <c r="N35" i="2"/>
  <c r="Z30" i="2"/>
  <c r="M22" i="2"/>
  <c r="Z65" i="2"/>
  <c r="Z64" i="2"/>
  <c r="Y63" i="2"/>
  <c r="M62" i="2"/>
  <c r="T61" i="2"/>
  <c r="M61" i="2"/>
  <c r="T59" i="2"/>
  <c r="Y58" i="2"/>
  <c r="N58" i="2"/>
  <c r="Y56" i="2"/>
  <c r="M56" i="2"/>
  <c r="Z53" i="2"/>
  <c r="Z51" i="2"/>
  <c r="Z50" i="2"/>
  <c r="Z49" i="2"/>
  <c r="Z47" i="2"/>
  <c r="M46" i="2"/>
  <c r="T44" i="2"/>
  <c r="T41" i="2"/>
  <c r="T33" i="2"/>
  <c r="T32" i="2"/>
  <c r="T31" i="2"/>
  <c r="N30" i="2"/>
  <c r="X25" i="2"/>
  <c r="S22" i="2"/>
  <c r="Z20" i="2"/>
  <c r="Y65" i="2"/>
  <c r="N65" i="2"/>
  <c r="Y64" i="2"/>
  <c r="N63" i="2"/>
  <c r="T62" i="2"/>
  <c r="S61" i="2"/>
  <c r="N60" i="2"/>
  <c r="Q59" i="2"/>
  <c r="M58" i="2"/>
  <c r="S57" i="2"/>
  <c r="Z55" i="2"/>
  <c r="N55" i="2"/>
  <c r="T54" i="2"/>
  <c r="Y53" i="2"/>
  <c r="N53" i="2"/>
  <c r="Y49" i="2"/>
  <c r="N49" i="2"/>
  <c r="T48" i="2"/>
  <c r="Z46" i="2"/>
  <c r="S44" i="2"/>
  <c r="M38" i="2"/>
  <c r="T37" i="2"/>
  <c r="L31" i="2"/>
  <c r="N27" i="2"/>
  <c r="N19" i="2"/>
  <c r="T14" i="2"/>
  <c r="Z43" i="2"/>
  <c r="Z37" i="2"/>
  <c r="N36" i="2"/>
  <c r="Z34" i="2"/>
  <c r="Z28" i="2"/>
  <c r="N26" i="2"/>
  <c r="Z19" i="2"/>
  <c r="Z14" i="2"/>
  <c r="Q64" i="2"/>
  <c r="R43" i="2"/>
  <c r="T42" i="2"/>
  <c r="N40" i="2"/>
  <c r="Y35" i="2"/>
  <c r="Y34" i="2"/>
  <c r="X31" i="2"/>
  <c r="T26" i="2"/>
  <c r="T25" i="2"/>
  <c r="R19" i="2"/>
  <c r="Q45" i="2"/>
  <c r="Q50" i="2"/>
  <c r="U23" i="2"/>
  <c r="X65" i="2"/>
  <c r="P65" i="2"/>
  <c r="S64" i="2"/>
  <c r="AB63" i="2"/>
  <c r="AA62" i="2"/>
  <c r="S62" i="2"/>
  <c r="AB61" i="2"/>
  <c r="U61" i="2"/>
  <c r="V60" i="2"/>
  <c r="Y59" i="2"/>
  <c r="P57" i="2"/>
  <c r="V56" i="2"/>
  <c r="AB55" i="2"/>
  <c r="R55" i="2"/>
  <c r="M54" i="2"/>
  <c r="P52" i="2"/>
  <c r="S51" i="2"/>
  <c r="V50" i="2"/>
  <c r="S49" i="2"/>
  <c r="Y48" i="2"/>
  <c r="S47" i="2"/>
  <c r="M45" i="2"/>
  <c r="X43" i="2"/>
  <c r="M42" i="2"/>
  <c r="M40" i="2"/>
  <c r="S39" i="2"/>
  <c r="AB33" i="2"/>
  <c r="P31" i="2"/>
  <c r="O30" i="2"/>
  <c r="AB28" i="2"/>
  <c r="U25" i="2"/>
  <c r="P24" i="2"/>
  <c r="P20" i="2"/>
  <c r="S19" i="2"/>
  <c r="U18" i="2"/>
  <c r="Y29" i="2"/>
  <c r="U21" i="2"/>
  <c r="S13" i="2"/>
  <c r="Q60" i="2"/>
  <c r="S50" i="2"/>
  <c r="AA49" i="2"/>
  <c r="U47" i="2"/>
  <c r="S45" i="2"/>
  <c r="Y44" i="2"/>
  <c r="Q44" i="2"/>
  <c r="L43" i="2"/>
  <c r="N42" i="2"/>
  <c r="S41" i="2"/>
  <c r="N39" i="2"/>
  <c r="Q38" i="2"/>
  <c r="X37" i="2"/>
  <c r="N37" i="2"/>
  <c r="S35" i="2"/>
  <c r="Y30" i="2"/>
  <c r="Z29" i="2"/>
  <c r="AA28" i="2"/>
  <c r="M27" i="2"/>
  <c r="Z25" i="2"/>
  <c r="N25" i="2"/>
  <c r="U20" i="2"/>
  <c r="Q27" i="2"/>
  <c r="Q21" i="2"/>
  <c r="Q39" i="2"/>
  <c r="M63" i="2"/>
  <c r="X61" i="2"/>
  <c r="R61" i="2"/>
  <c r="L61" i="2"/>
  <c r="U60" i="2"/>
  <c r="M60" i="2"/>
  <c r="U59" i="2"/>
  <c r="M59" i="2"/>
  <c r="L55" i="2"/>
  <c r="Q51" i="2"/>
  <c r="Y50" i="2"/>
  <c r="R49" i="2"/>
  <c r="M47" i="2"/>
  <c r="S46" i="2"/>
  <c r="Y45" i="2"/>
  <c r="M44" i="2"/>
  <c r="M43" i="2"/>
  <c r="S42" i="2"/>
  <c r="M41" i="2"/>
  <c r="S40" i="2"/>
  <c r="O39" i="2"/>
  <c r="U37" i="2"/>
  <c r="L37" i="2"/>
  <c r="U35" i="2"/>
  <c r="M31" i="2"/>
  <c r="Y28" i="2"/>
  <c r="Y26" i="2"/>
  <c r="O25" i="2"/>
  <c r="S23" i="2"/>
  <c r="M18" i="2"/>
  <c r="U16" i="2"/>
  <c r="S60" i="2"/>
  <c r="S59" i="2"/>
  <c r="M57" i="2"/>
  <c r="U56" i="2"/>
  <c r="S55" i="2"/>
  <c r="O51" i="2"/>
  <c r="O49" i="2"/>
  <c r="M48" i="2"/>
  <c r="S43" i="2"/>
  <c r="M39" i="2"/>
  <c r="L25" i="2"/>
  <c r="Q49" i="2"/>
  <c r="Q46" i="2"/>
  <c r="Q43" i="2"/>
  <c r="Z42" i="2"/>
  <c r="Q42" i="2"/>
  <c r="Z41" i="2"/>
  <c r="Q41" i="2"/>
  <c r="Z40" i="2"/>
  <c r="Q40" i="2"/>
  <c r="Y39" i="2"/>
  <c r="Y38" i="2"/>
  <c r="Y37" i="2"/>
  <c r="S37" i="2"/>
  <c r="M37" i="2"/>
  <c r="M36" i="2"/>
  <c r="M35" i="2"/>
  <c r="T34" i="2"/>
  <c r="S33" i="2"/>
  <c r="Z32" i="2"/>
  <c r="S32" i="2"/>
  <c r="Z31" i="2"/>
  <c r="S31" i="2"/>
  <c r="T30" i="2"/>
  <c r="M30" i="2"/>
  <c r="T29" i="2"/>
  <c r="T28" i="2"/>
  <c r="Z27" i="2"/>
  <c r="M26" i="2"/>
  <c r="Q25" i="2"/>
  <c r="N24" i="2"/>
  <c r="Y22" i="2"/>
  <c r="Z21" i="2"/>
  <c r="N21" i="2"/>
  <c r="T20" i="2"/>
  <c r="Y19" i="2"/>
  <c r="Q17" i="2"/>
  <c r="Q14" i="2"/>
  <c r="Q65" i="2"/>
  <c r="T57" i="2"/>
  <c r="T56" i="2"/>
  <c r="T55" i="2"/>
  <c r="M55" i="2"/>
  <c r="N54" i="2"/>
  <c r="M53" i="2"/>
  <c r="M52" i="2"/>
  <c r="T51" i="2"/>
  <c r="M51" i="2"/>
  <c r="T50" i="2"/>
  <c r="Z48" i="2"/>
  <c r="Q48" i="2"/>
  <c r="Y47" i="2"/>
  <c r="Q47" i="2"/>
  <c r="Y46" i="2"/>
  <c r="N45" i="2"/>
  <c r="N44" i="2"/>
  <c r="Y42" i="2"/>
  <c r="Y41" i="2"/>
  <c r="Y40" i="2"/>
  <c r="N38" i="2"/>
  <c r="T36" i="2"/>
  <c r="AB35" i="2"/>
  <c r="T35" i="2"/>
  <c r="AB34" i="2"/>
  <c r="S34" i="2"/>
  <c r="Z33" i="2"/>
  <c r="Q33" i="2"/>
  <c r="Y32" i="2"/>
  <c r="Q32" i="2"/>
  <c r="Y31" i="2"/>
  <c r="R31" i="2"/>
  <c r="AB30" i="2"/>
  <c r="S30" i="2"/>
  <c r="AB29" i="2"/>
  <c r="S29" i="2"/>
  <c r="S28" i="2"/>
  <c r="Y27" i="2"/>
  <c r="V26" i="2"/>
  <c r="AB25" i="2"/>
  <c r="V25" i="2"/>
  <c r="P25" i="2"/>
  <c r="Z24" i="2"/>
  <c r="M24" i="2"/>
  <c r="T23" i="2"/>
  <c r="AB20" i="2"/>
  <c r="S20" i="2"/>
  <c r="X19" i="2"/>
  <c r="P19" i="2"/>
  <c r="P17" i="2"/>
  <c r="AB14" i="2"/>
  <c r="P14" i="2"/>
  <c r="T13" i="2"/>
  <c r="Q37" i="2"/>
  <c r="Q34" i="2"/>
  <c r="Q31" i="2"/>
  <c r="Q30" i="2"/>
  <c r="Q29" i="2"/>
  <c r="Q28" i="2"/>
  <c r="Q18" i="2"/>
  <c r="Q36" i="2"/>
  <c r="Q35" i="2"/>
  <c r="Q13" i="2"/>
  <c r="Q58" i="2"/>
  <c r="Q55" i="2"/>
  <c r="Q54" i="2"/>
  <c r="Q53" i="2"/>
  <c r="Q52" i="2"/>
  <c r="Y36" i="2"/>
  <c r="N34" i="2"/>
  <c r="M33" i="2"/>
  <c r="M32" i="2"/>
  <c r="N31" i="2"/>
  <c r="N29" i="2"/>
  <c r="N28" i="2"/>
  <c r="T27" i="2"/>
  <c r="Z26" i="2"/>
  <c r="Q26" i="2"/>
  <c r="Y25" i="2"/>
  <c r="S25" i="2"/>
  <c r="M25" i="2"/>
  <c r="S24" i="2"/>
  <c r="N23" i="2"/>
  <c r="T21" i="2"/>
  <c r="T19" i="2"/>
  <c r="Y13" i="2"/>
  <c r="N13" i="2"/>
  <c r="AA65" i="2"/>
  <c r="U65" i="2"/>
  <c r="O65" i="2"/>
  <c r="U63" i="2"/>
  <c r="AA59" i="2"/>
  <c r="O58" i="2"/>
  <c r="AA56" i="2"/>
  <c r="U54" i="2"/>
  <c r="U51" i="2"/>
  <c r="AA47" i="2"/>
  <c r="O46" i="2"/>
  <c r="AA44" i="2"/>
  <c r="U42" i="2"/>
  <c r="U39" i="2"/>
  <c r="AA35" i="2"/>
  <c r="O34" i="2"/>
  <c r="AA32" i="2"/>
  <c r="U30" i="2"/>
  <c r="AB27" i="2"/>
  <c r="U27" i="2"/>
  <c r="P26" i="2"/>
  <c r="Y24" i="2"/>
  <c r="Q24" i="2"/>
  <c r="AA23" i="2"/>
  <c r="M23" i="2"/>
  <c r="U22" i="2"/>
  <c r="AB21" i="2"/>
  <c r="AA20" i="2"/>
  <c r="M20" i="2"/>
  <c r="Q19" i="2"/>
  <c r="AB18" i="2"/>
  <c r="S18" i="2"/>
  <c r="AA17" i="2"/>
  <c r="O17" i="2"/>
  <c r="Q16" i="2"/>
  <c r="O14" i="2"/>
  <c r="P13" i="2"/>
  <c r="U58" i="2"/>
  <c r="AA54" i="2"/>
  <c r="O53" i="2"/>
  <c r="AA51" i="2"/>
  <c r="O50" i="2"/>
  <c r="U46" i="2"/>
  <c r="AA42" i="2"/>
  <c r="O41" i="2"/>
  <c r="AA39" i="2"/>
  <c r="O38" i="2"/>
  <c r="U34" i="2"/>
  <c r="AA30" i="2"/>
  <c r="O29" i="2"/>
  <c r="AA27" i="2"/>
  <c r="O26" i="2"/>
  <c r="AA21" i="2"/>
  <c r="AA18" i="2"/>
  <c r="O13" i="2"/>
  <c r="U62" i="2"/>
  <c r="O60" i="2"/>
  <c r="AA58" i="2"/>
  <c r="O57" i="2"/>
  <c r="AA55" i="2"/>
  <c r="U55" i="2"/>
  <c r="O55" i="2"/>
  <c r="U53" i="2"/>
  <c r="U50" i="2"/>
  <c r="O48" i="2"/>
  <c r="AA46" i="2"/>
  <c r="O45" i="2"/>
  <c r="AA43" i="2"/>
  <c r="U43" i="2"/>
  <c r="O43" i="2"/>
  <c r="U41" i="2"/>
  <c r="U38" i="2"/>
  <c r="O36" i="2"/>
  <c r="AA34" i="2"/>
  <c r="O33" i="2"/>
  <c r="AA31" i="2"/>
  <c r="U31" i="2"/>
  <c r="O31" i="2"/>
  <c r="U29" i="2"/>
  <c r="S27" i="2"/>
  <c r="AB26" i="2"/>
  <c r="U26" i="2"/>
  <c r="V24" i="2"/>
  <c r="O24" i="2"/>
  <c r="Y23" i="2"/>
  <c r="Q23" i="2"/>
  <c r="AA22" i="2"/>
  <c r="Q22" i="2"/>
  <c r="P21" i="2"/>
  <c r="Y20" i="2"/>
  <c r="Q20" i="2"/>
  <c r="AA19" i="2"/>
  <c r="U19" i="2"/>
  <c r="O19" i="2"/>
  <c r="Y18" i="2"/>
  <c r="P18" i="2"/>
  <c r="V17" i="2"/>
  <c r="AA16" i="2"/>
  <c r="O16" i="2"/>
  <c r="U14" i="2"/>
  <c r="AB13" i="2"/>
  <c r="U13" i="2"/>
  <c r="U57" i="2"/>
  <c r="AA53" i="2"/>
  <c r="O52" i="2"/>
  <c r="AA50" i="2"/>
  <c r="U48" i="2"/>
  <c r="U45" i="2"/>
  <c r="AA41" i="2"/>
  <c r="O40" i="2"/>
  <c r="AA38" i="2"/>
  <c r="U36" i="2"/>
  <c r="U33" i="2"/>
  <c r="AA29" i="2"/>
  <c r="O28" i="2"/>
  <c r="AA26" i="2"/>
  <c r="U24" i="2"/>
  <c r="O21" i="2"/>
  <c r="O18" i="2"/>
  <c r="U17" i="2"/>
  <c r="AA13" i="2"/>
  <c r="AA60" i="2"/>
  <c r="O59" i="2"/>
  <c r="AA57" i="2"/>
  <c r="O56" i="2"/>
  <c r="U52" i="2"/>
  <c r="AA48" i="2"/>
  <c r="O47" i="2"/>
  <c r="AA45" i="2"/>
  <c r="O44" i="2"/>
  <c r="U40" i="2"/>
  <c r="AA36" i="2"/>
  <c r="O35" i="2"/>
  <c r="AA33" i="2"/>
  <c r="O32" i="2"/>
  <c r="U28" i="2"/>
  <c r="AA24" i="2"/>
  <c r="O23" i="2"/>
  <c r="O22" i="2"/>
  <c r="O20" i="2"/>
  <c r="AA14" i="2"/>
  <c r="X62" i="2"/>
  <c r="R62" i="2"/>
  <c r="L62" i="2"/>
  <c r="X56" i="2"/>
  <c r="R56" i="2"/>
  <c r="L56" i="2"/>
  <c r="X50" i="2"/>
  <c r="R50" i="2"/>
  <c r="L50" i="2"/>
  <c r="X44" i="2"/>
  <c r="R44" i="2"/>
  <c r="L44" i="2"/>
  <c r="X38" i="2"/>
  <c r="R38" i="2"/>
  <c r="L38" i="2"/>
  <c r="X32" i="2"/>
  <c r="R32" i="2"/>
  <c r="L32" i="2"/>
  <c r="X26" i="2"/>
  <c r="R26" i="2"/>
  <c r="L26" i="2"/>
  <c r="Z22" i="2"/>
  <c r="T22" i="2"/>
  <c r="N22" i="2"/>
  <c r="Y21" i="2"/>
  <c r="S21" i="2"/>
  <c r="M21" i="2"/>
  <c r="X20" i="2"/>
  <c r="R20" i="2"/>
  <c r="L20" i="2"/>
  <c r="Z16" i="2"/>
  <c r="T16" i="2"/>
  <c r="N16" i="2"/>
  <c r="Y14" i="2"/>
  <c r="S14" i="2"/>
  <c r="M14" i="2"/>
  <c r="X13" i="2"/>
  <c r="R13" i="2"/>
  <c r="L13" i="2"/>
  <c r="X63" i="2"/>
  <c r="R63" i="2"/>
  <c r="L63" i="2"/>
  <c r="X57" i="2"/>
  <c r="R57" i="2"/>
  <c r="L57" i="2"/>
  <c r="X51" i="2"/>
  <c r="R51" i="2"/>
  <c r="L51" i="2"/>
  <c r="X45" i="2"/>
  <c r="R45" i="2"/>
  <c r="L45" i="2"/>
  <c r="X39" i="2"/>
  <c r="R39" i="2"/>
  <c r="L39" i="2"/>
  <c r="X33" i="2"/>
  <c r="R33" i="2"/>
  <c r="L33" i="2"/>
  <c r="X27" i="2"/>
  <c r="R27" i="2"/>
  <c r="L27" i="2"/>
  <c r="X21" i="2"/>
  <c r="R21" i="2"/>
  <c r="L21" i="2"/>
  <c r="Z17" i="2"/>
  <c r="T17" i="2"/>
  <c r="N17" i="2"/>
  <c r="Y16" i="2"/>
  <c r="S16" i="2"/>
  <c r="M16" i="2"/>
  <c r="X14" i="2"/>
  <c r="R14" i="2"/>
  <c r="L14" i="2"/>
  <c r="X64" i="2"/>
  <c r="R64" i="2"/>
  <c r="L64" i="2"/>
  <c r="X58" i="2"/>
  <c r="R58" i="2"/>
  <c r="L58" i="2"/>
  <c r="X52" i="2"/>
  <c r="R52" i="2"/>
  <c r="L52" i="2"/>
  <c r="X46" i="2"/>
  <c r="R46" i="2"/>
  <c r="L46" i="2"/>
  <c r="X40" i="2"/>
  <c r="R40" i="2"/>
  <c r="L40" i="2"/>
  <c r="X34" i="2"/>
  <c r="R34" i="2"/>
  <c r="L34" i="2"/>
  <c r="X28" i="2"/>
  <c r="R28" i="2"/>
  <c r="L28" i="2"/>
  <c r="X22" i="2"/>
  <c r="R22" i="2"/>
  <c r="L22" i="2"/>
  <c r="Z18" i="2"/>
  <c r="T18" i="2"/>
  <c r="N18" i="2"/>
  <c r="Y17" i="2"/>
  <c r="S17" i="2"/>
  <c r="M17" i="2"/>
  <c r="X16" i="2"/>
  <c r="R16" i="2"/>
  <c r="L16" i="2"/>
  <c r="X59" i="2"/>
  <c r="R59" i="2"/>
  <c r="L59" i="2"/>
  <c r="X53" i="2"/>
  <c r="R53" i="2"/>
  <c r="L53" i="2"/>
  <c r="X47" i="2"/>
  <c r="R47" i="2"/>
  <c r="L47" i="2"/>
  <c r="X41" i="2"/>
  <c r="R41" i="2"/>
  <c r="L41" i="2"/>
  <c r="X35" i="2"/>
  <c r="R35" i="2"/>
  <c r="L35" i="2"/>
  <c r="X29" i="2"/>
  <c r="R29" i="2"/>
  <c r="L29" i="2"/>
  <c r="X23" i="2"/>
  <c r="R23" i="2"/>
  <c r="L23" i="2"/>
  <c r="X17" i="2"/>
  <c r="R17" i="2"/>
  <c r="L17" i="2"/>
  <c r="X60" i="2"/>
  <c r="R60" i="2"/>
  <c r="L60" i="2"/>
  <c r="X54" i="2"/>
  <c r="R54" i="2"/>
  <c r="L54" i="2"/>
  <c r="X48" i="2"/>
  <c r="R48" i="2"/>
  <c r="L48" i="2"/>
  <c r="X42" i="2"/>
  <c r="R42" i="2"/>
  <c r="L42" i="2"/>
  <c r="X36" i="2"/>
  <c r="R36" i="2"/>
  <c r="L36" i="2"/>
  <c r="X30" i="2"/>
  <c r="R30" i="2"/>
  <c r="L30" i="2"/>
  <c r="X24" i="2"/>
  <c r="R24" i="2"/>
  <c r="L24" i="2"/>
  <c r="X18" i="2"/>
  <c r="R18" i="2"/>
  <c r="L18" i="2"/>
  <c r="AC66" i="2" l="1"/>
  <c r="AC65" i="2"/>
  <c r="AC62" i="2"/>
  <c r="AC61" i="2"/>
  <c r="AC59" i="2"/>
  <c r="AC58" i="2"/>
  <c r="AC57" i="2"/>
  <c r="AC53" i="2"/>
  <c r="AC52" i="2"/>
  <c r="AC51" i="2"/>
  <c r="AC50" i="2"/>
  <c r="AC49" i="2"/>
  <c r="AC48" i="2"/>
  <c r="AC47" i="2"/>
  <c r="AC45" i="2"/>
  <c r="AC44" i="2"/>
  <c r="AC43" i="2"/>
  <c r="AC41" i="2"/>
  <c r="AC40" i="2"/>
  <c r="AC39" i="2"/>
  <c r="AC38" i="2"/>
  <c r="AC37" i="2"/>
  <c r="AC36" i="2"/>
  <c r="AC35" i="2"/>
  <c r="AC34" i="2"/>
  <c r="AC33" i="2"/>
  <c r="AC32" i="2"/>
  <c r="AC30" i="2"/>
  <c r="AC29" i="2"/>
  <c r="AC28" i="2"/>
  <c r="AC27" i="2"/>
  <c r="AC26" i="2"/>
  <c r="AC24" i="2"/>
  <c r="AC23" i="2"/>
  <c r="AC22" i="2"/>
  <c r="AC21" i="2"/>
  <c r="AC20" i="2"/>
  <c r="AC18" i="2"/>
  <c r="AC13" i="2"/>
  <c r="AC60" i="2"/>
  <c r="AC56" i="2"/>
  <c r="AC55" i="2"/>
  <c r="AC46" i="2"/>
  <c r="AC42" i="2"/>
  <c r="AC31" i="2"/>
  <c r="AC54" i="2"/>
  <c r="AC25" i="2"/>
  <c r="AC19" i="2"/>
  <c r="AC14" i="2"/>
  <c r="AC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<sst xmlns="http://schemas.openxmlformats.org/spreadsheetml/2006/main" count="2381" uniqueCount="393">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</sst>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3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2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39" xfId="0" applyNumberFormat="1" applyFont="1" applyBorder="1" applyAlignment="1">
      <alignment horizontal="center" vertical="center" shrinkToFit="1"/>
    </xf>
    <xf numFmtId="0" fontId="22" fillId="0" borderId="63" xfId="3" quotePrefix="1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6" fontId="18" fillId="0" borderId="0" xfId="0" applyNumberFormat="1" applyFont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181" fontId="25" fillId="0" borderId="52" xfId="0" applyNumberFormat="1" applyFont="1" applyBorder="1" applyAlignment="1">
      <alignment horizontal="right" vertical="center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2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0"/>
  <sheetViews>
    <sheetView tabSelected="1" view="pageBreakPreview" topLeftCell="B1" zoomScaleNormal="100" zoomScaleSheetLayoutView="100" workbookViewId="0">
      <selection activeCell="H2" sqref="H2"/>
    </sheetView>
  </sheetViews>
  <sheetFormatPr defaultColWidth="9" defaultRowHeight="9"/>
  <cols>
    <col min="1" max="1" width="3.09765625" style="31" customWidth="1"/>
    <col min="2" max="2" width="25.59765625" style="31" customWidth="1"/>
    <col min="3" max="3" width="6" style="31" customWidth="1"/>
    <col min="4" max="9" width="12.59765625" style="32" customWidth="1"/>
    <col min="10" max="11" width="9.8984375" style="32" hidden="1" customWidth="1"/>
    <col min="12" max="28" width="5.59765625" style="31" hidden="1" customWidth="1"/>
    <col min="29" max="29" width="11.59765625" style="33" hidden="1" customWidth="1"/>
    <col min="30" max="30" width="3.09765625" style="33" customWidth="1"/>
    <col min="31" max="16384" width="9" style="31"/>
  </cols>
  <sheetData>
    <row r="1" spans="1:30"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0" ht="10.8">
      <c r="A2" s="184">
        <f>EDATE(演算タグ!B1,-3)</f>
        <v>45748</v>
      </c>
      <c r="B2" s="184"/>
      <c r="C2" s="185">
        <f>演算タグ!B1</f>
        <v>45839</v>
      </c>
      <c r="D2" s="185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30" ht="9.9" customHeight="1" thickBot="1"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30" ht="11.1" customHeight="1">
      <c r="A4" s="35"/>
      <c r="B4" s="36"/>
      <c r="C4" s="37" t="s">
        <v>87</v>
      </c>
      <c r="D4" s="186" t="s">
        <v>349</v>
      </c>
      <c r="E4" s="202" t="s">
        <v>352</v>
      </c>
      <c r="F4" s="200" t="s">
        <v>354</v>
      </c>
      <c r="G4" s="188" t="s">
        <v>358</v>
      </c>
      <c r="H4" s="198" t="s">
        <v>361</v>
      </c>
      <c r="I4" s="188" t="s">
        <v>364</v>
      </c>
      <c r="J4" s="182"/>
      <c r="K4" s="208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30" ht="11.1" customHeight="1">
      <c r="A5" s="38"/>
      <c r="B5" s="39"/>
      <c r="C5" s="40"/>
      <c r="D5" s="187"/>
      <c r="E5" s="203"/>
      <c r="F5" s="201"/>
      <c r="G5" s="189"/>
      <c r="H5" s="199"/>
      <c r="I5" s="189"/>
      <c r="J5" s="183"/>
      <c r="K5" s="209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0" ht="11.1" customHeight="1">
      <c r="A6" s="38"/>
      <c r="B6" s="41"/>
      <c r="C6" s="42" t="s">
        <v>88</v>
      </c>
      <c r="D6" s="194" t="s">
        <v>350</v>
      </c>
      <c r="E6" s="196" t="s">
        <v>382</v>
      </c>
      <c r="F6" s="192" t="s">
        <v>355</v>
      </c>
      <c r="G6" s="190" t="s">
        <v>359</v>
      </c>
      <c r="H6" s="192" t="s">
        <v>362</v>
      </c>
      <c r="I6" s="190" t="s">
        <v>365</v>
      </c>
      <c r="J6" s="210"/>
      <c r="K6" s="21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0" ht="11.1" customHeight="1" thickBot="1">
      <c r="A7" s="45" t="s">
        <v>85</v>
      </c>
      <c r="B7" s="46" t="s">
        <v>86</v>
      </c>
      <c r="C7" s="47"/>
      <c r="D7" s="195"/>
      <c r="E7" s="197"/>
      <c r="F7" s="193"/>
      <c r="G7" s="191"/>
      <c r="H7" s="193"/>
      <c r="I7" s="191"/>
      <c r="J7" s="211"/>
      <c r="K7" s="213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30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4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0" ht="11.1" customHeight="1">
      <c r="A9" s="55">
        <v>1</v>
      </c>
      <c r="B9" s="56" t="s">
        <v>80</v>
      </c>
      <c r="C9" s="57" t="s">
        <v>75</v>
      </c>
      <c r="D9" s="152" t="str">
        <f>IF(D13="","",IF(演算タグ!D9=0,"",REPLACE(演算タグ!E9,8,0,"/")))</f>
        <v>2025/07/07</v>
      </c>
      <c r="E9" s="152" t="str">
        <f>IF(E13="","",IF(演算タグ!F9=0,"",REPLACE(演算タグ!G9,8,0,"/")))</f>
        <v>2025/07/07</v>
      </c>
      <c r="F9" s="152" t="str">
        <f>IF(F13="","",IF(演算タグ!H9=0,"",REPLACE(演算タグ!I9,8,0,"/")))</f>
        <v>2025/07/07</v>
      </c>
      <c r="G9" s="152" t="str">
        <f>IF(G13="","",IF(演算タグ!J9=0,"",REPLACE(演算タグ!K9,8,0,"/")))</f>
        <v>2025/07/07</v>
      </c>
      <c r="H9" s="152" t="str">
        <f>IF(H13="","",IF(演算タグ!L9=0,"",REPLACE(演算タグ!M9,8,0,"/")))</f>
        <v>2025/07/07</v>
      </c>
      <c r="I9" s="152" t="str">
        <f>IF(I13="","",IF(演算タグ!N9=0,"",REPLACE(演算タグ!O9,8,0,"/")))</f>
        <v>2025/07/07</v>
      </c>
      <c r="J9" s="152"/>
      <c r="K9" s="153"/>
      <c r="L9" s="60" t="e">
        <f>#REF!</f>
        <v>#REF!</v>
      </c>
      <c r="M9" s="61" t="e">
        <f>#REF!</f>
        <v>#REF!</v>
      </c>
      <c r="N9" s="61" t="e">
        <f>#REF!</f>
        <v>#REF!</v>
      </c>
      <c r="O9" s="61" t="e">
        <f>#REF!</f>
        <v>#REF!</v>
      </c>
      <c r="P9" s="61" t="e">
        <f>#REF!</f>
        <v>#REF!</v>
      </c>
      <c r="Q9" s="61" t="e">
        <f>#REF!</f>
        <v>#REF!</v>
      </c>
      <c r="R9" s="61" t="e">
        <f>#REF!</f>
        <v>#REF!</v>
      </c>
      <c r="S9" s="61" t="e">
        <f>#REF!</f>
        <v>#REF!</v>
      </c>
      <c r="T9" s="61" t="e">
        <f>#REF!</f>
        <v>#REF!</v>
      </c>
      <c r="U9" s="61" t="e">
        <f>#REF!</f>
        <v>#REF!</v>
      </c>
      <c r="V9" s="61" t="e">
        <f>#REF!</f>
        <v>#REF!</v>
      </c>
      <c r="W9" s="61" t="e">
        <f>#REF!</f>
        <v>#REF!</v>
      </c>
      <c r="X9" s="61" t="e">
        <f>#REF!</f>
        <v>#REF!</v>
      </c>
      <c r="Y9" s="61" t="e">
        <f>#REF!</f>
        <v>#REF!</v>
      </c>
      <c r="Z9" s="61" t="e">
        <f>#REF!</f>
        <v>#REF!</v>
      </c>
      <c r="AA9" s="61" t="e">
        <f>#REF!</f>
        <v>#REF!</v>
      </c>
      <c r="AB9" s="61" t="e">
        <f>#REF!</f>
        <v>#REF!</v>
      </c>
      <c r="AC9" s="62" t="s">
        <v>46</v>
      </c>
    </row>
    <row r="10" spans="1:30" ht="11.1" customHeight="1">
      <c r="A10" s="63">
        <v>2</v>
      </c>
      <c r="B10" s="64" t="s">
        <v>81</v>
      </c>
      <c r="C10" s="65" t="s">
        <v>75</v>
      </c>
      <c r="D10" s="66" t="str">
        <f>IF(演算タグ!D10=0,"",REPLACE(演算タグ!E10,3,0,":"))</f>
        <v>10:06</v>
      </c>
      <c r="E10" s="68" t="str">
        <f>IF(演算タグ!F10=0,"",REPLACE(演算タグ!G10,3,0,":"))</f>
        <v>09:51</v>
      </c>
      <c r="F10" s="68" t="str">
        <f>IF(演算タグ!H10=0,"",REPLACE(演算タグ!I10,3,0,":"))</f>
        <v>10:26</v>
      </c>
      <c r="G10" s="68" t="str">
        <f>IF(演算タグ!J10=0,"",REPLACE(演算タグ!K10,3,0,":"))</f>
        <v>09:26</v>
      </c>
      <c r="H10" s="68" t="str">
        <f>IF(演算タグ!L10=0,"",REPLACE(演算タグ!M10,3,0,":"))</f>
        <v>11:01</v>
      </c>
      <c r="I10" s="68" t="str">
        <f>IF(演算タグ!N10=0,"",REPLACE(演算タグ!O10,3,0,":"))</f>
        <v>10:42</v>
      </c>
      <c r="J10" s="162"/>
      <c r="K10" s="154"/>
      <c r="L10" s="60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2"/>
    </row>
    <row r="11" spans="1:30" ht="11.1" customHeight="1">
      <c r="A11" s="63">
        <v>3</v>
      </c>
      <c r="B11" s="64" t="s">
        <v>82</v>
      </c>
      <c r="C11" s="65" t="s">
        <v>75</v>
      </c>
      <c r="D11" s="66" t="str">
        <f>IF(D13="","",IFERROR(IF(演算タグ!D11="","",演算タグ!D11),""))</f>
        <v>晴|曇</v>
      </c>
      <c r="E11" s="68" t="str">
        <f>IF(E13="","",IFERROR(IF(演算タグ!F11="","",演算タグ!F11),""))</f>
        <v>晴|曇</v>
      </c>
      <c r="F11" s="68" t="str">
        <f>IF(F13="","",IFERROR(IF(演算タグ!H11="","",演算タグ!H11),""))</f>
        <v>晴|曇</v>
      </c>
      <c r="G11" s="68" t="str">
        <f>IF(G13="","",IFERROR(IF(演算タグ!J11="","",演算タグ!J11),""))</f>
        <v>晴|曇</v>
      </c>
      <c r="H11" s="68" t="str">
        <f>IF(H13="","",IFERROR(IF(演算タグ!L11="","",演算タグ!L11),""))</f>
        <v>晴|曇</v>
      </c>
      <c r="I11" s="68" t="str">
        <f>IF(I13="","",IFERROR(IF(演算タグ!N11="","",演算タグ!N11),""))</f>
        <v>晴|曇</v>
      </c>
      <c r="J11" s="66"/>
      <c r="K11" s="155"/>
      <c r="L11" s="60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</row>
    <row r="12" spans="1:30" ht="11.1" customHeight="1">
      <c r="A12" s="63">
        <v>4</v>
      </c>
      <c r="B12" s="64" t="s">
        <v>83</v>
      </c>
      <c r="C12" s="65" t="s">
        <v>75</v>
      </c>
      <c r="D12" s="66" t="str">
        <f>IF(D13="","",IFERROR(IF(演算タグ!D12="","",演算タグ!D12),""))</f>
        <v>曇|雨</v>
      </c>
      <c r="E12" s="68" t="str">
        <f>IF(E13="","",IFERROR(IF(演算タグ!F12="","",演算タグ!F12),""))</f>
        <v>曇|雨</v>
      </c>
      <c r="F12" s="68" t="str">
        <f>IF(F13="","",IFERROR(IF(演算タグ!H12="","",演算タグ!H12),""))</f>
        <v>曇|雨</v>
      </c>
      <c r="G12" s="68" t="str">
        <f>IF(G13="","",IFERROR(IF(演算タグ!J12="","",演算タグ!J12),""))</f>
        <v>曇|雨</v>
      </c>
      <c r="H12" s="68" t="str">
        <f>IF(H13="","",IFERROR(IF(演算タグ!L12="","",演算タグ!L12),""))</f>
        <v>曇|雨</v>
      </c>
      <c r="I12" s="68" t="str">
        <f>IF(I13="","",IFERROR(IF(演算タグ!N12="","",演算タグ!N12),""))</f>
        <v>曇|雨</v>
      </c>
      <c r="J12" s="66"/>
      <c r="K12" s="155"/>
      <c r="L12" s="60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</row>
    <row r="13" spans="1:30" ht="11.1" customHeight="1">
      <c r="A13" s="63">
        <v>5</v>
      </c>
      <c r="B13" s="64" t="s">
        <v>44</v>
      </c>
      <c r="C13" s="65" t="s">
        <v>84</v>
      </c>
      <c r="D13" s="69">
        <f>IF(cnt_新時瀬!$BX$5=0,"",演算タグ!D13)</f>
        <v>29.5</v>
      </c>
      <c r="E13" s="70">
        <f>IF(cnt_小渡!$BX$5=0,"",演算タグ!F13)</f>
        <v>32</v>
      </c>
      <c r="F13" s="70">
        <f>IF(cnt_万町!$BX$5=0,"",演算タグ!H13)</f>
        <v>31.5</v>
      </c>
      <c r="G13" s="70">
        <f>IF(cnt_ぬくもり!$BX$5=0,"",演算タグ!J13)</f>
        <v>32</v>
      </c>
      <c r="H13" s="70">
        <f>IF(cnt_日下部!$BX$5=0,"",演算タグ!L13)</f>
        <v>30.5</v>
      </c>
      <c r="I13" s="70">
        <f>IF(cnt_旭高原!$BX$5=0,"",演算タグ!N13)</f>
        <v>29.5</v>
      </c>
      <c r="J13" s="69"/>
      <c r="K13" s="126"/>
      <c r="L13" s="69" t="str">
        <f>IFERROR(VLOOKUP(L$9,#REF!,2,FALSE),"")</f>
        <v/>
      </c>
      <c r="M13" s="70" t="str">
        <f>IFERROR(VLOOKUP(M$9,#REF!,2,FALSE),"")</f>
        <v/>
      </c>
      <c r="N13" s="70" t="str">
        <f>IFERROR(VLOOKUP(N$9,#REF!,2,FALSE),"")</f>
        <v/>
      </c>
      <c r="O13" s="70" t="str">
        <f>IFERROR(VLOOKUP(O$9,#REF!,2,FALSE),"")</f>
        <v/>
      </c>
      <c r="P13" s="70" t="str">
        <f>IFERROR(VLOOKUP(P$9,#REF!,2,FALSE),"")</f>
        <v/>
      </c>
      <c r="Q13" s="70" t="str">
        <f>IFERROR(VLOOKUP(Q$9,#REF!,2,FALSE),"")</f>
        <v/>
      </c>
      <c r="R13" s="70" t="str">
        <f>IFERROR(VLOOKUP(R$9,#REF!,2,FALSE),"")</f>
        <v/>
      </c>
      <c r="S13" s="70" t="str">
        <f>IFERROR(VLOOKUP(S$9,#REF!,2,FALSE),"")</f>
        <v/>
      </c>
      <c r="T13" s="70" t="str">
        <f>IFERROR(VLOOKUP(T$9,#REF!,2,FALSE),"")</f>
        <v/>
      </c>
      <c r="U13" s="70" t="str">
        <f>IFERROR(VLOOKUP(U$9,#REF!,2,FALSE),"")</f>
        <v/>
      </c>
      <c r="V13" s="70" t="str">
        <f>IFERROR(VLOOKUP(V$9,#REF!,2,FALSE),"")</f>
        <v/>
      </c>
      <c r="W13" s="70" t="str">
        <f>IFERROR(VLOOKUP(ACH$9,#REF!,2,FALSE),"")</f>
        <v/>
      </c>
      <c r="X13" s="70" t="str">
        <f>IFERROR(VLOOKUP(X$9,#REF!,2,FALSE),"")</f>
        <v/>
      </c>
      <c r="Y13" s="70" t="str">
        <f>IFERROR(VLOOKUP(Y$9,#REF!,2,FALSE),"")</f>
        <v/>
      </c>
      <c r="Z13" s="70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1" t="e">
        <f>#REF!</f>
        <v>#REF!</v>
      </c>
      <c r="AD13" s="72"/>
    </row>
    <row r="14" spans="1:30" ht="11.1" customHeight="1" thickBot="1">
      <c r="A14" s="73">
        <v>6</v>
      </c>
      <c r="B14" s="74" t="s">
        <v>45</v>
      </c>
      <c r="C14" s="75" t="s">
        <v>84</v>
      </c>
      <c r="D14" s="76">
        <f>IF(cnt_新時瀬!$BY$5=0,"",演算タグ!D14)</f>
        <v>23.5</v>
      </c>
      <c r="E14" s="77">
        <f>IF(cnt_小渡!$BY$5=0,"",演算タグ!F14)</f>
        <v>29.2</v>
      </c>
      <c r="F14" s="77">
        <f>IF(cnt_万町!$BY$5=0,"",演算タグ!H14)</f>
        <v>23.7</v>
      </c>
      <c r="G14" s="77">
        <f>IF(cnt_ぬくもり!$BY$5=0,"",演算タグ!J14)</f>
        <v>29.7</v>
      </c>
      <c r="H14" s="77">
        <f>IF(cnt_日下部!$BY$5=0,"",演算タグ!L14)</f>
        <v>20.7</v>
      </c>
      <c r="I14" s="77">
        <f>IF(cnt_旭高原!$BY$5=0,"",演算タグ!N14)</f>
        <v>24.5</v>
      </c>
      <c r="J14" s="76"/>
      <c r="K14" s="156"/>
      <c r="L14" s="69" t="str">
        <f>IFERROR(VLOOKUP(L$9,#REF!,3,FALSE),"")</f>
        <v/>
      </c>
      <c r="M14" s="70" t="str">
        <f>IFERROR(VLOOKUP(M$9,#REF!,3,FALSE),"")</f>
        <v/>
      </c>
      <c r="N14" s="70" t="str">
        <f>IFERROR(VLOOKUP(N$9,#REF!,3,FALSE),"")</f>
        <v/>
      </c>
      <c r="O14" s="70" t="str">
        <f>IFERROR(VLOOKUP(O$9,#REF!,3,FALSE),"")</f>
        <v/>
      </c>
      <c r="P14" s="70" t="str">
        <f>IFERROR(VLOOKUP(P$9,#REF!,3,FALSE),"")</f>
        <v/>
      </c>
      <c r="Q14" s="70" t="str">
        <f>IFERROR(VLOOKUP(Q$9,#REF!,3,FALSE),"")</f>
        <v/>
      </c>
      <c r="R14" s="70" t="str">
        <f>IFERROR(VLOOKUP(R$9,#REF!,3,FALSE),"")</f>
        <v/>
      </c>
      <c r="S14" s="70" t="str">
        <f>IFERROR(VLOOKUP(S$9,#REF!,3,FALSE),"")</f>
        <v/>
      </c>
      <c r="T14" s="70" t="str">
        <f>IFERROR(VLOOKUP(T$9,#REF!,3,FALSE),"")</f>
        <v/>
      </c>
      <c r="U14" s="70" t="str">
        <f>IFERROR(VLOOKUP(U$9,#REF!,3,FALSE),"")</f>
        <v/>
      </c>
      <c r="V14" s="70" t="str">
        <f>IFERROR(VLOOKUP(V$9,#REF!,3,FALSE),"")</f>
        <v/>
      </c>
      <c r="W14" s="70" t="str">
        <f>IFERROR(VLOOKUP(ACH$9,#REF!,3,FALSE),"")</f>
        <v/>
      </c>
      <c r="X14" s="70" t="str">
        <f>IFERROR(VLOOKUP(X$9,#REF!,3,FALSE),"")</f>
        <v/>
      </c>
      <c r="Y14" s="70" t="str">
        <f>IFERROR(VLOOKUP(Y$9,#REF!,3,FALSE),"")</f>
        <v/>
      </c>
      <c r="Z14" s="70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1" t="e">
        <f>#REF!</f>
        <v>#REF!</v>
      </c>
      <c r="AD14" s="72"/>
    </row>
    <row r="15" spans="1:30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157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  <c r="AD15" s="72"/>
    </row>
    <row r="16" spans="1:30" ht="11.1" customHeight="1">
      <c r="A16" s="82">
        <v>1</v>
      </c>
      <c r="B16" s="56" t="s">
        <v>47</v>
      </c>
      <c r="C16" s="83" t="s">
        <v>77</v>
      </c>
      <c r="D16" s="84">
        <f>IF(cnt_新時瀬!$B$5=0,"",演算タグ!D16)</f>
        <v>0</v>
      </c>
      <c r="E16" s="84">
        <f>IF(cnt_小渡!$B$5=0,"",演算タグ!F16)</f>
        <v>0</v>
      </c>
      <c r="F16" s="84">
        <f>IF(cnt_万町!$B$5=0,"",演算タグ!H16)</f>
        <v>0</v>
      </c>
      <c r="G16" s="84">
        <f>IF(cnt_ぬくもり!$B$5=0,"",演算タグ!J16)</f>
        <v>0</v>
      </c>
      <c r="H16" s="84">
        <f>IF(cnt_日下部!$B$5=0,"",演算タグ!L16)</f>
        <v>0</v>
      </c>
      <c r="I16" s="84">
        <f>IF(cnt_旭高原!$B$5=0,"",演算タグ!N16)</f>
        <v>0</v>
      </c>
      <c r="J16" s="58"/>
      <c r="K16" s="84"/>
      <c r="L16" s="66" t="str">
        <f>IFERROR(VLOOKUP(L$9,#REF!,9,FALSE),"")</f>
        <v/>
      </c>
      <c r="M16" s="68" t="str">
        <f>IFERROR(VLOOKUP(M$9,#REF!,9,FALSE),"")</f>
        <v/>
      </c>
      <c r="N16" s="68" t="str">
        <f>IFERROR(VLOOKUP(N$9,#REF!,9,FALSE),"")</f>
        <v/>
      </c>
      <c r="O16" s="68" t="str">
        <f>IFERROR(VLOOKUP(O$9,#REF!,9,FALSE),"")</f>
        <v/>
      </c>
      <c r="P16" s="68" t="str">
        <f>IFERROR(VLOOKUP(P$9,#REF!,9,FALSE),"")</f>
        <v/>
      </c>
      <c r="Q16" s="68" t="str">
        <f>IFERROR(VLOOKUP(Q$9,#REF!,9,FALSE),"")</f>
        <v/>
      </c>
      <c r="R16" s="68" t="str">
        <f>IFERROR(VLOOKUP(R$9,#REF!,9,FALSE),"")</f>
        <v/>
      </c>
      <c r="S16" s="68" t="str">
        <f>IFERROR(VLOOKUP(S$9,#REF!,9,FALSE),"")</f>
        <v/>
      </c>
      <c r="T16" s="68" t="str">
        <f>IFERROR(VLOOKUP(T$9,#REF!,9,FALSE),"")</f>
        <v/>
      </c>
      <c r="U16" s="68" t="str">
        <f>IFERROR(VLOOKUP(U$9,#REF!,9,FALSE),"")</f>
        <v/>
      </c>
      <c r="V16" s="68" t="str">
        <f>IFERROR(VLOOKUP(V$9,#REF!,9,FALSE),"")</f>
        <v/>
      </c>
      <c r="W16" s="68" t="str">
        <f>IFERROR(VLOOKUP(ACH$9,#REF!,9,FALSE),"")</f>
        <v/>
      </c>
      <c r="X16" s="68" t="str">
        <f>IFERROR(VLOOKUP(X$9,#REF!,9,FALSE),"")</f>
        <v/>
      </c>
      <c r="Y16" s="68" t="str">
        <f>IFERROR(VLOOKUP(Y$9,#REF!,9,FALSE),"")</f>
        <v/>
      </c>
      <c r="Z16" s="68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71" t="e">
        <f>#REF!</f>
        <v>#REF!</v>
      </c>
      <c r="AD16" s="72"/>
    </row>
    <row r="17" spans="1:30" ht="11.1" customHeight="1">
      <c r="A17" s="87">
        <v>2</v>
      </c>
      <c r="B17" s="64" t="s">
        <v>0</v>
      </c>
      <c r="C17" s="65" t="s">
        <v>75</v>
      </c>
      <c r="D17" s="68" t="str">
        <f>IF(OR(cnt_新時瀬!$C$5=0,cnt_新時瀬!$C$5=""),"",IF(演算タグ!D17=2,"検出","不検出"))</f>
        <v>不検出</v>
      </c>
      <c r="E17" s="68" t="str">
        <f>IF(OR(cnt_小渡!$C$5=0,cnt_小渡!$C$5=""),"",IF(演算タグ!F17=2,"検出","不検出"))</f>
        <v>不検出</v>
      </c>
      <c r="F17" s="68" t="str">
        <f>IF(OR(cnt_万町!$C$5=0,cnt_万町!$C$5=""),"",IF(演算タグ!H17=2,"検出","不検出"))</f>
        <v>不検出</v>
      </c>
      <c r="G17" s="68" t="str">
        <f>IF(OR(cnt_ぬくもり!$C$5=0,cnt_ぬくもり!$C$5=""),"",IF(演算タグ!J17=2,"検出","不検出"))</f>
        <v>不検出</v>
      </c>
      <c r="H17" s="68" t="str">
        <f>IF(OR(cnt_日下部!$C$5=0,cnt_日下部!$C$5=""),"",IF(演算タグ!L17=2,"検出","不検出"))</f>
        <v>不検出</v>
      </c>
      <c r="I17" s="68" t="str">
        <f>IF(OR(cnt_旭高原!$C$5=0,cnt_旭高原!$C$5=""),"",IF(演算タグ!N17=2,"検出","不検出"))</f>
        <v>不検出</v>
      </c>
      <c r="J17" s="66"/>
      <c r="K17" s="68"/>
      <c r="L17" s="66" t="str">
        <f>IFERROR(VLOOKUP(L$9,#REF!,10,FALSE),"")</f>
        <v/>
      </c>
      <c r="M17" s="68" t="str">
        <f>IFERROR(VLOOKUP(M$9,#REF!,10,FALSE),"")</f>
        <v/>
      </c>
      <c r="N17" s="68" t="str">
        <f>IFERROR(VLOOKUP(N$9,#REF!,10,FALSE),"")</f>
        <v/>
      </c>
      <c r="O17" s="68" t="str">
        <f>IFERROR(VLOOKUP(O$9,#REF!,10,FALSE),"")</f>
        <v/>
      </c>
      <c r="P17" s="68" t="str">
        <f>IFERROR(VLOOKUP(P$9,#REF!,10,FALSE),"")</f>
        <v/>
      </c>
      <c r="Q17" s="68" t="str">
        <f>IFERROR(VLOOKUP(Q$9,#REF!,10,FALSE),"")</f>
        <v/>
      </c>
      <c r="R17" s="68" t="str">
        <f>IFERROR(VLOOKUP(R$9,#REF!,10,FALSE),"")</f>
        <v/>
      </c>
      <c r="S17" s="68" t="str">
        <f>IFERROR(VLOOKUP(S$9,#REF!,10,FALSE),"")</f>
        <v/>
      </c>
      <c r="T17" s="68" t="str">
        <f>IFERROR(VLOOKUP(T$9,#REF!,10,FALSE),"")</f>
        <v/>
      </c>
      <c r="U17" s="68" t="str">
        <f>IFERROR(VLOOKUP(U$9,#REF!,10,FALSE),"")</f>
        <v/>
      </c>
      <c r="V17" s="68" t="str">
        <f>IFERROR(VLOOKUP(V$9,#REF!,10,FALSE),"")</f>
        <v/>
      </c>
      <c r="W17" s="68" t="str">
        <f>IFERROR(VLOOKUP(ACH$9,#REF!,10,FALSE),"")</f>
        <v/>
      </c>
      <c r="X17" s="68" t="str">
        <f>IFERROR(VLOOKUP(X$9,#REF!,10,FALSE),"")</f>
        <v/>
      </c>
      <c r="Y17" s="68" t="str">
        <f>IFERROR(VLOOKUP(Y$9,#REF!,10,FALSE),"")</f>
        <v/>
      </c>
      <c r="Z17" s="68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89"/>
      <c r="AD17" s="72"/>
    </row>
    <row r="18" spans="1:30" ht="11.1" customHeight="1">
      <c r="A18" s="87">
        <v>3</v>
      </c>
      <c r="B18" s="64" t="s">
        <v>1</v>
      </c>
      <c r="C18" s="90" t="s">
        <v>78</v>
      </c>
      <c r="D18" s="92" t="str">
        <f>IF(cnt_新時瀬!$D$5=0,"",IF(演算タグ!E18&lt;0.0003,"0.0003未満",演算タグ!E18))</f>
        <v/>
      </c>
      <c r="E18" s="92" t="str">
        <f>IF(cnt_小渡!$D$5=0,"",IF(演算タグ!G18&lt;0.0003,"0.0003未満",演算タグ!G18))</f>
        <v/>
      </c>
      <c r="F18" s="92" t="str">
        <f>IF(cnt_万町!$D$5=0,"",IF(演算タグ!I18&lt;0.0003,"0.0003未満",演算タグ!I18))</f>
        <v/>
      </c>
      <c r="G18" s="92" t="str">
        <f>IF(cnt_ぬくもり!$D$5=0,"",IF(演算タグ!K18&lt;0.0003,"0.0003未満",演算タグ!K18))</f>
        <v/>
      </c>
      <c r="H18" s="92" t="str">
        <f>IF(cnt_日下部!$D$5=0,"",IF(演算タグ!M18&lt;0.0003,"0.0003未満",演算タグ!M18))</f>
        <v/>
      </c>
      <c r="I18" s="92" t="str">
        <f>IF(cnt_旭高原!$D$5=0,"",IF(演算タグ!O18&lt;0.0003,"0.0003未満",演算タグ!O18))</f>
        <v/>
      </c>
      <c r="J18" s="91"/>
      <c r="K18" s="92"/>
      <c r="L18" s="66" t="str">
        <f>IFERROR(VLOOKUP(L$9,#REF!,12,FALSE),"")</f>
        <v/>
      </c>
      <c r="M18" s="68" t="str">
        <f>IFERROR(VLOOKUP(M$9,#REF!,12,FALSE),"")</f>
        <v/>
      </c>
      <c r="N18" s="68" t="str">
        <f>IFERROR(VLOOKUP(N$9,#REF!,12,FALSE),"")</f>
        <v/>
      </c>
      <c r="O18" s="68" t="str">
        <f>IFERROR(VLOOKUP(O$9,#REF!,12,FALSE),"")</f>
        <v/>
      </c>
      <c r="P18" s="68" t="str">
        <f>IFERROR(VLOOKUP(P$9,#REF!,12,FALSE),"")</f>
        <v/>
      </c>
      <c r="Q18" s="68" t="str">
        <f>IFERROR(VLOOKUP(Q$9,#REF!,12,FALSE),"")</f>
        <v/>
      </c>
      <c r="R18" s="68" t="str">
        <f>IFERROR(VLOOKUP(R$9,#REF!,12,FALSE),"")</f>
        <v/>
      </c>
      <c r="S18" s="68" t="str">
        <f>IFERROR(VLOOKUP(S$9,#REF!,12,FALSE),"")</f>
        <v/>
      </c>
      <c r="T18" s="68" t="str">
        <f>IFERROR(VLOOKUP(T$9,#REF!,12,FALSE),"")</f>
        <v/>
      </c>
      <c r="U18" s="68" t="str">
        <f>IFERROR(VLOOKUP(U$9,#REF!,12,FALSE),"")</f>
        <v/>
      </c>
      <c r="V18" s="68" t="str">
        <f>IFERROR(VLOOKUP(V$9,#REF!,12,FALSE),"")</f>
        <v/>
      </c>
      <c r="W18" s="68" t="str">
        <f>IFERROR(VLOOKUP(ACH$9,#REF!,12,FALSE),"")</f>
        <v/>
      </c>
      <c r="X18" s="68" t="str">
        <f>IFERROR(VLOOKUP(X$9,#REF!,12,FALSE),"")</f>
        <v/>
      </c>
      <c r="Y18" s="68" t="str">
        <f>IFERROR(VLOOKUP(Y$9,#REF!,12,FALSE),"")</f>
        <v/>
      </c>
      <c r="Z18" s="68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71" t="e">
        <f>#REF!</f>
        <v>#REF!</v>
      </c>
      <c r="AD18" s="72"/>
    </row>
    <row r="19" spans="1:30" ht="11.1" customHeight="1">
      <c r="A19" s="87">
        <v>4</v>
      </c>
      <c r="B19" s="64" t="s">
        <v>2</v>
      </c>
      <c r="C19" s="90" t="s">
        <v>78</v>
      </c>
      <c r="D19" s="94" t="str">
        <f>IF(cnt_新時瀬!$R$5=0,"",IF(演算タグ!E19&lt;0.00005,"0.00005未満",演算タグ!E19))</f>
        <v/>
      </c>
      <c r="E19" s="94" t="str">
        <f>IF(cnt_小渡!$R$5=0,"",IF(演算タグ!G19&lt;0.00005,"0.00005未満",演算タグ!G19))</f>
        <v/>
      </c>
      <c r="F19" s="94" t="str">
        <f>IF(cnt_万町!$R$5=0,"",IF(演算タグ!I19&lt;0.00005,"0.00005未満",演算タグ!I19))</f>
        <v/>
      </c>
      <c r="G19" s="94" t="str">
        <f>IF(cnt_ぬくもり!$R$5=0,"",IF(演算タグ!K19&lt;0.00005,"0.00005未満",演算タグ!K19))</f>
        <v/>
      </c>
      <c r="H19" s="94" t="str">
        <f>IF(cnt_日下部!$R$5=0,"",IF(演算タグ!M19&lt;0.00005,"0.00005未満",演算タグ!M19))</f>
        <v/>
      </c>
      <c r="I19" s="94" t="str">
        <f>IF(cnt_旭高原!$R$5=0,"",IF(演算タグ!O19&lt;0.00005,"0.00005未満",演算タグ!O19))</f>
        <v/>
      </c>
      <c r="J19" s="93"/>
      <c r="K19" s="94"/>
      <c r="L19" s="66" t="str">
        <f>IFERROR(VLOOKUP(L$9,#REF!,25,FALSE),"")</f>
        <v/>
      </c>
      <c r="M19" s="68" t="str">
        <f>IFERROR(VLOOKUP(M$9,#REF!,25,FALSE),"")</f>
        <v/>
      </c>
      <c r="N19" s="68" t="str">
        <f>IFERROR(VLOOKUP(N$9,#REF!,25,FALSE),"")</f>
        <v/>
      </c>
      <c r="O19" s="68" t="str">
        <f>IFERROR(VLOOKUP(O$9,#REF!,25,FALSE),"")</f>
        <v/>
      </c>
      <c r="P19" s="68" t="str">
        <f>IFERROR(VLOOKUP(P$9,#REF!,25,FALSE),"")</f>
        <v/>
      </c>
      <c r="Q19" s="68" t="str">
        <f>IFERROR(VLOOKUP(Q$9,#REF!,25,FALSE),"")</f>
        <v/>
      </c>
      <c r="R19" s="68" t="str">
        <f>IFERROR(VLOOKUP(R$9,#REF!,25,FALSE),"")</f>
        <v/>
      </c>
      <c r="S19" s="68" t="str">
        <f>IFERROR(VLOOKUP(S$9,#REF!,25,FALSE),"")</f>
        <v/>
      </c>
      <c r="T19" s="68" t="str">
        <f>IFERROR(VLOOKUP(T$9,#REF!,25,FALSE),"")</f>
        <v/>
      </c>
      <c r="U19" s="68" t="str">
        <f>IFERROR(VLOOKUP(U$9,#REF!,25,FALSE),"")</f>
        <v/>
      </c>
      <c r="V19" s="68" t="str">
        <f>IFERROR(VLOOKUP(V$9,#REF!,25,FALSE),"")</f>
        <v/>
      </c>
      <c r="W19" s="68" t="str">
        <f>IFERROR(VLOOKUP(ACH$9,#REF!,25,FALSE),"")</f>
        <v/>
      </c>
      <c r="X19" s="68" t="str">
        <f>IFERROR(VLOOKUP(X$9,#REF!,25,FALSE),"")</f>
        <v/>
      </c>
      <c r="Y19" s="68" t="str">
        <f>IFERROR(VLOOKUP(Y$9,#REF!,25,FALSE),"")</f>
        <v/>
      </c>
      <c r="Z19" s="68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71" t="e">
        <f>#REF!</f>
        <v>#REF!</v>
      </c>
      <c r="AD19" s="72"/>
    </row>
    <row r="20" spans="1:30" ht="11.1" customHeight="1">
      <c r="A20" s="87">
        <v>5</v>
      </c>
      <c r="B20" s="64" t="s">
        <v>3</v>
      </c>
      <c r="C20" s="90" t="s">
        <v>78</v>
      </c>
      <c r="D20" s="96" t="str">
        <f>IF(cnt_新時瀬!$E$5=0,"",IF(演算タグ!E20&lt;0.001,"0.001未満",演算タグ!E20))</f>
        <v/>
      </c>
      <c r="E20" s="96" t="str">
        <f>IF(cnt_小渡!$E$5=0,"",IF(演算タグ!G20&lt;0.001,"0.001未満",演算タグ!G20))</f>
        <v/>
      </c>
      <c r="F20" s="96" t="str">
        <f>IF(cnt_万町!$E$5=0,"",IF(演算タグ!I20&lt;0.001,"0.001未満",演算タグ!I20))</f>
        <v/>
      </c>
      <c r="G20" s="96" t="str">
        <f>IF(cnt_ぬくもり!$E$5=0,"",IF(演算タグ!K20&lt;0.001,"0.001未満",演算タグ!K20))</f>
        <v/>
      </c>
      <c r="H20" s="96" t="str">
        <f>IF(cnt_日下部!$E$5=0,"",IF(演算タグ!M20&lt;0.001,"0.001未満",演算タグ!M20))</f>
        <v/>
      </c>
      <c r="I20" s="96" t="str">
        <f>IF(cnt_旭高原!$E$5=0,"",IF(演算タグ!O20&lt;0.001,"0.001未満",演算タグ!O20))</f>
        <v/>
      </c>
      <c r="J20" s="95"/>
      <c r="K20" s="96"/>
      <c r="L20" s="66" t="str">
        <f>IFERROR(VLOOKUP(L$9,#REF!,13,FALSE),"")</f>
        <v/>
      </c>
      <c r="M20" s="68" t="str">
        <f>IFERROR(VLOOKUP(M$9,#REF!,13,FALSE),"")</f>
        <v/>
      </c>
      <c r="N20" s="68" t="str">
        <f>IFERROR(VLOOKUP(N$9,#REF!,13,FALSE),"")</f>
        <v/>
      </c>
      <c r="O20" s="68" t="str">
        <f>IFERROR(VLOOKUP(O$9,#REF!,13,FALSE),"")</f>
        <v/>
      </c>
      <c r="P20" s="68" t="str">
        <f>IFERROR(VLOOKUP(P$9,#REF!,13,FALSE),"")</f>
        <v/>
      </c>
      <c r="Q20" s="68" t="str">
        <f>IFERROR(VLOOKUP(Q$9,#REF!,13,FALSE),"")</f>
        <v/>
      </c>
      <c r="R20" s="68" t="str">
        <f>IFERROR(VLOOKUP(R$9,#REF!,13,FALSE),"")</f>
        <v/>
      </c>
      <c r="S20" s="68" t="str">
        <f>IFERROR(VLOOKUP(S$9,#REF!,13,FALSE),"")</f>
        <v/>
      </c>
      <c r="T20" s="68" t="str">
        <f>IFERROR(VLOOKUP(T$9,#REF!,13,FALSE),"")</f>
        <v/>
      </c>
      <c r="U20" s="68" t="str">
        <f>IFERROR(VLOOKUP(U$9,#REF!,13,FALSE),"")</f>
        <v/>
      </c>
      <c r="V20" s="68" t="str">
        <f>IFERROR(VLOOKUP(V$9,#REF!,13,FALSE),"")</f>
        <v/>
      </c>
      <c r="W20" s="68" t="str">
        <f>IFERROR(VLOOKUP(ACH$9,#REF!,13,FALSE),"")</f>
        <v/>
      </c>
      <c r="X20" s="68" t="str">
        <f>IFERROR(VLOOKUP(X$9,#REF!,13,FALSE),"")</f>
        <v/>
      </c>
      <c r="Y20" s="68" t="str">
        <f>IFERROR(VLOOKUP(Y$9,#REF!,13,FALSE),"")</f>
        <v/>
      </c>
      <c r="Z20" s="68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71" t="e">
        <f>#REF!</f>
        <v>#REF!</v>
      </c>
      <c r="AD20" s="72"/>
    </row>
    <row r="21" spans="1:30" ht="11.1" customHeight="1">
      <c r="A21" s="87">
        <v>6</v>
      </c>
      <c r="B21" s="64" t="s">
        <v>4</v>
      </c>
      <c r="C21" s="90" t="s">
        <v>78</v>
      </c>
      <c r="D21" s="96" t="str">
        <f>IF(cnt_新時瀬!$F$5=0,"",IF(演算タグ!E21&lt;0.001,"0.001未満",演算タグ!E21))</f>
        <v/>
      </c>
      <c r="E21" s="96" t="str">
        <f>IF(cnt_小渡!$F$5=0,"",IF(演算タグ!G21&lt;0.001,"0.001未満",演算タグ!G21))</f>
        <v/>
      </c>
      <c r="F21" s="96" t="str">
        <f>IF(cnt_万町!$F$5=0,"",IF(演算タグ!I21&lt;0.001,"0.001未満",演算タグ!I21))</f>
        <v/>
      </c>
      <c r="G21" s="96" t="str">
        <f>IF(cnt_ぬくもり!$F$5=0,"",IF(演算タグ!K21&lt;0.001,"0.001未満",演算タグ!K21))</f>
        <v/>
      </c>
      <c r="H21" s="96" t="str">
        <f>IF(cnt_日下部!$F$5=0,"",IF(演算タグ!M21&lt;0.001,"0.001未満",演算タグ!M21))</f>
        <v/>
      </c>
      <c r="I21" s="96" t="str">
        <f>IF(cnt_旭高原!$F$5=0,"",IF(演算タグ!O21&lt;0.001,"0.001未満",演算タグ!O21))</f>
        <v/>
      </c>
      <c r="J21" s="95"/>
      <c r="K21" s="96"/>
      <c r="L21" s="66" t="str">
        <f>IFERROR(VLOOKUP(L$9,#REF!,14,FALSE),"")</f>
        <v/>
      </c>
      <c r="M21" s="68" t="str">
        <f>IFERROR(VLOOKUP(M$9,#REF!,14,FALSE),"")</f>
        <v/>
      </c>
      <c r="N21" s="68" t="str">
        <f>IFERROR(VLOOKUP(N$9,#REF!,14,FALSE),"")</f>
        <v/>
      </c>
      <c r="O21" s="68" t="str">
        <f>IFERROR(VLOOKUP(O$9,#REF!,14,FALSE),"")</f>
        <v/>
      </c>
      <c r="P21" s="68" t="str">
        <f>IFERROR(VLOOKUP(P$9,#REF!,14,FALSE),"")</f>
        <v/>
      </c>
      <c r="Q21" s="68" t="str">
        <f>IFERROR(VLOOKUP(Q$9,#REF!,14,FALSE),"")</f>
        <v/>
      </c>
      <c r="R21" s="68" t="str">
        <f>IFERROR(VLOOKUP(R$9,#REF!,14,FALSE),"")</f>
        <v/>
      </c>
      <c r="S21" s="68" t="str">
        <f>IFERROR(VLOOKUP(S$9,#REF!,14,FALSE),"")</f>
        <v/>
      </c>
      <c r="T21" s="68" t="str">
        <f>IFERROR(VLOOKUP(T$9,#REF!,14,FALSE),"")</f>
        <v/>
      </c>
      <c r="U21" s="68" t="str">
        <f>IFERROR(VLOOKUP(U$9,#REF!,14,FALSE),"")</f>
        <v/>
      </c>
      <c r="V21" s="68" t="str">
        <f>IFERROR(VLOOKUP(V$9,#REF!,14,FALSE),"")</f>
        <v/>
      </c>
      <c r="W21" s="68" t="str">
        <f>IFERROR(VLOOKUP(ACH$9,#REF!,14,FALSE),"")</f>
        <v/>
      </c>
      <c r="X21" s="68" t="str">
        <f>IFERROR(VLOOKUP(X$9,#REF!,14,FALSE),"")</f>
        <v/>
      </c>
      <c r="Y21" s="68" t="str">
        <f>IFERROR(VLOOKUP(Y$9,#REF!,14,FALSE),"")</f>
        <v/>
      </c>
      <c r="Z21" s="68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71" t="e">
        <f>#REF!</f>
        <v>#REF!</v>
      </c>
      <c r="AD21" s="72"/>
    </row>
    <row r="22" spans="1:30" ht="11.1" customHeight="1">
      <c r="A22" s="87">
        <v>7</v>
      </c>
      <c r="B22" s="64" t="s">
        <v>5</v>
      </c>
      <c r="C22" s="90" t="s">
        <v>78</v>
      </c>
      <c r="D22" s="96" t="str">
        <f>IF(cnt_新時瀬!$G$5=0,"",IF(演算タグ!E22&lt;0.001,"0.001未満",演算タグ!E22))</f>
        <v/>
      </c>
      <c r="E22" s="96" t="str">
        <f>IF(cnt_小渡!$G$5=0,"",IF(演算タグ!G22&lt;0.001,"0.001未満",演算タグ!G22))</f>
        <v/>
      </c>
      <c r="F22" s="96" t="str">
        <f>IF(cnt_万町!$G$5=0,"",IF(演算タグ!I22&lt;0.001,"0.001未満",演算タグ!I22))</f>
        <v/>
      </c>
      <c r="G22" s="96" t="str">
        <f>IF(cnt_ぬくもり!$G$5=0,"",IF(演算タグ!K22&lt;0.001,"0.001未満",演算タグ!K22))</f>
        <v/>
      </c>
      <c r="H22" s="96" t="str">
        <f>IF(cnt_日下部!$G$5=0,"",IF(演算タグ!M22&lt;0.001,"0.001未満",演算タグ!M22))</f>
        <v/>
      </c>
      <c r="I22" s="96" t="str">
        <f>IF(cnt_旭高原!$G$5=0,"",IF(演算タグ!O22&lt;0.001,"0.001未満",演算タグ!O22))</f>
        <v/>
      </c>
      <c r="J22" s="95"/>
      <c r="K22" s="96"/>
      <c r="L22" s="66" t="str">
        <f>IFERROR(VLOOKUP(L$9,#REF!,15,FALSE),"")</f>
        <v/>
      </c>
      <c r="M22" s="68" t="str">
        <f>IFERROR(VLOOKUP(M$9,#REF!,15,FALSE),"")</f>
        <v/>
      </c>
      <c r="N22" s="68" t="str">
        <f>IFERROR(VLOOKUP(N$9,#REF!,15,FALSE),"")</f>
        <v/>
      </c>
      <c r="O22" s="68" t="str">
        <f>IFERROR(VLOOKUP(O$9,#REF!,15,FALSE),"")</f>
        <v/>
      </c>
      <c r="P22" s="68" t="str">
        <f>IFERROR(VLOOKUP(P$9,#REF!,15,FALSE),"")</f>
        <v/>
      </c>
      <c r="Q22" s="68" t="str">
        <f>IFERROR(VLOOKUP(Q$9,#REF!,15,FALSE),"")</f>
        <v/>
      </c>
      <c r="R22" s="68" t="str">
        <f>IFERROR(VLOOKUP(R$9,#REF!,15,FALSE),"")</f>
        <v/>
      </c>
      <c r="S22" s="68" t="str">
        <f>IFERROR(VLOOKUP(S$9,#REF!,15,FALSE),"")</f>
        <v/>
      </c>
      <c r="T22" s="68" t="str">
        <f>IFERROR(VLOOKUP(T$9,#REF!,15,FALSE),"")</f>
        <v/>
      </c>
      <c r="U22" s="68" t="str">
        <f>IFERROR(VLOOKUP(U$9,#REF!,15,FALSE),"")</f>
        <v/>
      </c>
      <c r="V22" s="68" t="str">
        <f>IFERROR(VLOOKUP(V$9,#REF!,15,FALSE),"")</f>
        <v/>
      </c>
      <c r="W22" s="68" t="str">
        <f>IFERROR(VLOOKUP(ACH$9,#REF!,15,FALSE),"")</f>
        <v/>
      </c>
      <c r="X22" s="68" t="str">
        <f>IFERROR(VLOOKUP(X$9,#REF!,15,FALSE),"")</f>
        <v/>
      </c>
      <c r="Y22" s="68" t="str">
        <f>IFERROR(VLOOKUP(Y$9,#REF!,15,FALSE),"")</f>
        <v/>
      </c>
      <c r="Z22" s="68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71" t="e">
        <f>#REF!</f>
        <v>#REF!</v>
      </c>
      <c r="AD22" s="72"/>
    </row>
    <row r="23" spans="1:30" ht="11.1" customHeight="1">
      <c r="A23" s="87">
        <v>8</v>
      </c>
      <c r="B23" s="64" t="s">
        <v>6</v>
      </c>
      <c r="C23" s="90" t="s">
        <v>78</v>
      </c>
      <c r="D23" s="96" t="str">
        <f>IF(cnt_新時瀬!$H$5=0,"",IF(演算タグ!E23&lt;0.005,"0.005未満",演算タグ!E23))</f>
        <v/>
      </c>
      <c r="E23" s="96" t="str">
        <f>IF(cnt_小渡!$H$5=0,"",IF(演算タグ!G23&lt;0.005,"0.005未満",演算タグ!G23))</f>
        <v/>
      </c>
      <c r="F23" s="96" t="str">
        <f>IF(cnt_万町!$H$5=0,"",IF(演算タグ!I23&lt;0.005,"0.005未満",演算タグ!I23))</f>
        <v/>
      </c>
      <c r="G23" s="96" t="str">
        <f>IF(cnt_ぬくもり!$H$5=0,"",IF(演算タグ!K23&lt;0.005,"0.005未満",演算タグ!K23))</f>
        <v/>
      </c>
      <c r="H23" s="96" t="str">
        <f>IF(cnt_日下部!$H$5=0,"",IF(演算タグ!M23&lt;0.005,"0.005未満",演算タグ!M23))</f>
        <v/>
      </c>
      <c r="I23" s="96" t="str">
        <f>IF(cnt_旭高原!$H$5=0,"",IF(演算タグ!O23&lt;0.005,"0.005未満",演算タグ!O23))</f>
        <v/>
      </c>
      <c r="J23" s="95"/>
      <c r="K23" s="96"/>
      <c r="L23" s="66" t="str">
        <f>IFERROR(VLOOKUP(L$9,#REF!,16,FALSE),"")</f>
        <v/>
      </c>
      <c r="M23" s="68" t="str">
        <f>IFERROR(VLOOKUP(M$9,#REF!,16,FALSE),"")</f>
        <v/>
      </c>
      <c r="N23" s="68" t="str">
        <f>IFERROR(VLOOKUP(N$9,#REF!,16,FALSE),"")</f>
        <v/>
      </c>
      <c r="O23" s="68" t="str">
        <f>IFERROR(VLOOKUP(O$9,#REF!,16,FALSE),"")</f>
        <v/>
      </c>
      <c r="P23" s="68" t="str">
        <f>IFERROR(VLOOKUP(P$9,#REF!,16,FALSE),"")</f>
        <v/>
      </c>
      <c r="Q23" s="68" t="str">
        <f>IFERROR(VLOOKUP(Q$9,#REF!,16,FALSE),"")</f>
        <v/>
      </c>
      <c r="R23" s="68" t="str">
        <f>IFERROR(VLOOKUP(R$9,#REF!,16,FALSE),"")</f>
        <v/>
      </c>
      <c r="S23" s="68" t="str">
        <f>IFERROR(VLOOKUP(S$9,#REF!,16,FALSE),"")</f>
        <v/>
      </c>
      <c r="T23" s="68" t="str">
        <f>IFERROR(VLOOKUP(T$9,#REF!,16,FALSE),"")</f>
        <v/>
      </c>
      <c r="U23" s="68" t="str">
        <f>IFERROR(VLOOKUP(U$9,#REF!,16,FALSE),"")</f>
        <v/>
      </c>
      <c r="V23" s="68" t="str">
        <f>IFERROR(VLOOKUP(V$9,#REF!,16,FALSE),"")</f>
        <v/>
      </c>
      <c r="W23" s="68" t="str">
        <f>IFERROR(VLOOKUP(ACH$9,#REF!,16,FALSE),"")</f>
        <v/>
      </c>
      <c r="X23" s="68" t="str">
        <f>IFERROR(VLOOKUP(X$9,#REF!,16,FALSE),"")</f>
        <v/>
      </c>
      <c r="Y23" s="68" t="str">
        <f>IFERROR(VLOOKUP(Y$9,#REF!,16,FALSE),"")</f>
        <v/>
      </c>
      <c r="Z23" s="68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71" t="e">
        <f>#REF!</f>
        <v>#REF!</v>
      </c>
      <c r="AD23" s="72"/>
    </row>
    <row r="24" spans="1:30" ht="11.1" customHeight="1">
      <c r="A24" s="87">
        <v>9</v>
      </c>
      <c r="B24" s="64" t="s">
        <v>7</v>
      </c>
      <c r="C24" s="90" t="s">
        <v>78</v>
      </c>
      <c r="D24" s="96" t="str">
        <f>IF(cnt_新時瀬!$W$5=0,"",IF(演算タグ!D24&lt;0.004,"0.004未満",演算タグ!D24))</f>
        <v>0.004未満</v>
      </c>
      <c r="E24" s="96" t="str">
        <f>IF(cnt_小渡!$W$5=0,"",IF(演算タグ!F24&lt;0.004,"0.004未満",演算タグ!F24))</f>
        <v>0.004未満</v>
      </c>
      <c r="F24" s="96" t="str">
        <f>IF(cnt_万町!$W$5=0,"",IF(演算タグ!H24&lt;0.004,"0.004未満",演算タグ!H24))</f>
        <v>0.004未満</v>
      </c>
      <c r="G24" s="96" t="str">
        <f>IF(cnt_ぬくもり!$W$5=0,"",IF(演算タグ!J24&lt;0.004,"0.004未満",演算タグ!J24))</f>
        <v>0.004未満</v>
      </c>
      <c r="H24" s="96" t="str">
        <f>IF(cnt_日下部!$W$5=0,"",IF(演算タグ!L24&lt;0.004,"0.004未満",演算タグ!L24))</f>
        <v>0.004未満</v>
      </c>
      <c r="I24" s="96" t="str">
        <f>IF(cnt_旭高原!$W$5=0,"",IF(演算タグ!N24&lt;0.004,"0.004未満",演算タグ!N24))</f>
        <v>0.004未満</v>
      </c>
      <c r="J24" s="95"/>
      <c r="K24" s="96"/>
      <c r="L24" s="66" t="str">
        <f>IFERROR(VLOOKUP(L$9,#REF!,34,FALSE),"")</f>
        <v/>
      </c>
      <c r="M24" s="68" t="str">
        <f>IFERROR(VLOOKUP(M$9,#REF!,34,FALSE),"")</f>
        <v/>
      </c>
      <c r="N24" s="68" t="str">
        <f>IFERROR(VLOOKUP(N$9,#REF!,34,FALSE),"")</f>
        <v/>
      </c>
      <c r="O24" s="68" t="str">
        <f>IFERROR(VLOOKUP(O$9,#REF!,34,FALSE),"")</f>
        <v/>
      </c>
      <c r="P24" s="68" t="str">
        <f>IFERROR(VLOOKUP(P$9,#REF!,34,FALSE),"")</f>
        <v/>
      </c>
      <c r="Q24" s="68" t="str">
        <f>IFERROR(VLOOKUP(Q$9,#REF!,34,FALSE),"")</f>
        <v/>
      </c>
      <c r="R24" s="68" t="str">
        <f>IFERROR(VLOOKUP(R$9,#REF!,34,FALSE),"")</f>
        <v/>
      </c>
      <c r="S24" s="68" t="str">
        <f>IFERROR(VLOOKUP(S$9,#REF!,34,FALSE),"")</f>
        <v/>
      </c>
      <c r="T24" s="68" t="str">
        <f>IFERROR(VLOOKUP(T$9,#REF!,34,FALSE),"")</f>
        <v/>
      </c>
      <c r="U24" s="68" t="str">
        <f>IFERROR(VLOOKUP(U$9,#REF!,34,FALSE),"")</f>
        <v/>
      </c>
      <c r="V24" s="68" t="str">
        <f>IFERROR(VLOOKUP(V$9,#REF!,34,FALSE),"")</f>
        <v/>
      </c>
      <c r="W24" s="68" t="str">
        <f>IFERROR(VLOOKUP(ACH$9,#REF!,34,FALSE),"")</f>
        <v/>
      </c>
      <c r="X24" s="68" t="str">
        <f>IFERROR(VLOOKUP(X$9,#REF!,34,FALSE),"")</f>
        <v/>
      </c>
      <c r="Y24" s="68" t="str">
        <f>IFERROR(VLOOKUP(Y$9,#REF!,34,FALSE),"")</f>
        <v/>
      </c>
      <c r="Z24" s="68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71" t="e">
        <f>#REF!</f>
        <v>#REF!</v>
      </c>
      <c r="AD24" s="72"/>
    </row>
    <row r="25" spans="1:30" ht="11.1" customHeight="1">
      <c r="A25" s="87">
        <v>10</v>
      </c>
      <c r="B25" s="64" t="s">
        <v>8</v>
      </c>
      <c r="C25" s="90" t="s">
        <v>78</v>
      </c>
      <c r="D25" s="96" t="str">
        <f>IF(cnt_新時瀬!$S$5=0,"",IF(演算タグ!E25&lt;0.001,"0.001未満",演算タグ!E25))</f>
        <v>0.001未満</v>
      </c>
      <c r="E25" s="96" t="str">
        <f>IF(cnt_小渡!$S$5=0,"",IF(演算タグ!G25&lt;0.001,"0.001未満",演算タグ!G25))</f>
        <v>0.001未満</v>
      </c>
      <c r="F25" s="96" t="str">
        <f>IF(cnt_万町!$S$5=0,"",IF(演算タグ!I25&lt;0.001,"0.001未満",演算タグ!I25))</f>
        <v>0.001未満</v>
      </c>
      <c r="G25" s="96" t="str">
        <f>IF(cnt_ぬくもり!$S$5=0,"",IF(演算タグ!K25&lt;0.001,"0.001未満",演算タグ!K25))</f>
        <v>0.001未満</v>
      </c>
      <c r="H25" s="96" t="str">
        <f>IF(cnt_日下部!$S$5=0,"",IF(演算タグ!M25&lt;0.001,"0.001未満",演算タグ!M25))</f>
        <v>0.001未満</v>
      </c>
      <c r="I25" s="96" t="str">
        <f>IF(cnt_旭高原!$S$5=0,"",IF(演算タグ!O25&lt;0.001,"0.001未満",演算タグ!O25))</f>
        <v>0.001未満</v>
      </c>
      <c r="J25" s="95"/>
      <c r="K25" s="96"/>
      <c r="L25" s="66" t="str">
        <f>IFERROR(VLOOKUP(L$9,#REF!,29,FALSE),"")</f>
        <v/>
      </c>
      <c r="M25" s="68" t="str">
        <f>IFERROR(VLOOKUP(M$9,#REF!,29,FALSE),"")</f>
        <v/>
      </c>
      <c r="N25" s="68" t="str">
        <f>IFERROR(VLOOKUP(N$9,#REF!,29,FALSE),"")</f>
        <v/>
      </c>
      <c r="O25" s="68" t="str">
        <f>IFERROR(VLOOKUP(O$9,#REF!,29,FALSE),"")</f>
        <v/>
      </c>
      <c r="P25" s="68" t="str">
        <f>IFERROR(VLOOKUP(P$9,#REF!,29,FALSE),"")</f>
        <v/>
      </c>
      <c r="Q25" s="68" t="str">
        <f>IFERROR(VLOOKUP(Q$9,#REF!,29,FALSE),"")</f>
        <v/>
      </c>
      <c r="R25" s="68" t="str">
        <f>IFERROR(VLOOKUP(R$9,#REF!,29,FALSE),"")</f>
        <v/>
      </c>
      <c r="S25" s="68" t="str">
        <f>IFERROR(VLOOKUP(S$9,#REF!,29,FALSE),"")</f>
        <v/>
      </c>
      <c r="T25" s="68" t="str">
        <f>IFERROR(VLOOKUP(T$9,#REF!,29,FALSE),"")</f>
        <v/>
      </c>
      <c r="U25" s="68" t="str">
        <f>IFERROR(VLOOKUP(U$9,#REF!,29,FALSE),"")</f>
        <v/>
      </c>
      <c r="V25" s="68" t="str">
        <f>IFERROR(VLOOKUP(V$9,#REF!,29,FALSE),"")</f>
        <v/>
      </c>
      <c r="W25" s="68" t="str">
        <f>IFERROR(VLOOKUP(ACH$9,#REF!,29,FALSE),"")</f>
        <v/>
      </c>
      <c r="X25" s="68" t="str">
        <f>IFERROR(VLOOKUP(X$9,#REF!,29,FALSE),"")</f>
        <v/>
      </c>
      <c r="Y25" s="68" t="str">
        <f>IFERROR(VLOOKUP(Y$9,#REF!,29,FALSE),"")</f>
        <v/>
      </c>
      <c r="Z25" s="68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71" t="e">
        <f>#REF!</f>
        <v>#REF!</v>
      </c>
      <c r="AD25" s="72"/>
    </row>
    <row r="26" spans="1:30" ht="11.1" customHeight="1">
      <c r="A26" s="87">
        <v>11</v>
      </c>
      <c r="B26" s="64" t="s">
        <v>9</v>
      </c>
      <c r="C26" s="90" t="s">
        <v>78</v>
      </c>
      <c r="D26" s="98">
        <f>IF(cnt_新時瀬!$X$5=0,"",IF(演算タグ!D26&lt;0.02,"0.02未満",演算タグ!D26))</f>
        <v>0.51</v>
      </c>
      <c r="E26" s="98">
        <f>IF(cnt_小渡!$X$5=0,"",IF(演算タグ!F26&lt;0.02,"0.02未満",演算タグ!F26))</f>
        <v>0.52</v>
      </c>
      <c r="F26" s="98">
        <f>IF(cnt_万町!$X$5=0,"",IF(演算タグ!H26&lt;0.02,"0.02未満",演算タグ!H26))</f>
        <v>0.45</v>
      </c>
      <c r="G26" s="98">
        <f>IF(cnt_ぬくもり!$X$5=0,"",IF(演算タグ!J26&lt;0.02,"0.02未満",演算タグ!J26))</f>
        <v>0.46</v>
      </c>
      <c r="H26" s="98">
        <f>IF(cnt_日下部!$X$5=0,"",IF(演算タグ!L26&lt;0.02,"0.02未満",演算タグ!L26))</f>
        <v>0.2</v>
      </c>
      <c r="I26" s="98">
        <f>IF(cnt_旭高原!$X$5=0,"",IF(演算タグ!N26&lt;0.02,"0.02未満",演算タグ!N26))</f>
        <v>0.21</v>
      </c>
      <c r="J26" s="97"/>
      <c r="K26" s="98"/>
      <c r="L26" s="66" t="str">
        <f>IFERROR(VLOOKUP(L$9,#REF!,36,FALSE),"")</f>
        <v/>
      </c>
      <c r="M26" s="68" t="str">
        <f>IFERROR(VLOOKUP(M$9,#REF!,36,FALSE),"")</f>
        <v/>
      </c>
      <c r="N26" s="68" t="str">
        <f>IFERROR(VLOOKUP(N$9,#REF!,36,FALSE),"")</f>
        <v/>
      </c>
      <c r="O26" s="68" t="str">
        <f>IFERROR(VLOOKUP(O$9,#REF!,36,FALSE),"")</f>
        <v/>
      </c>
      <c r="P26" s="68" t="str">
        <f>IFERROR(VLOOKUP(P$9,#REF!,36,FALSE),"")</f>
        <v/>
      </c>
      <c r="Q26" s="68" t="str">
        <f>IFERROR(VLOOKUP(Q$9,#REF!,36,FALSE),"")</f>
        <v/>
      </c>
      <c r="R26" s="68" t="str">
        <f>IFERROR(VLOOKUP(R$9,#REF!,36,FALSE),"")</f>
        <v/>
      </c>
      <c r="S26" s="68" t="str">
        <f>IFERROR(VLOOKUP(S$9,#REF!,36,FALSE),"")</f>
        <v/>
      </c>
      <c r="T26" s="68" t="str">
        <f>IFERROR(VLOOKUP(T$9,#REF!,36,FALSE),"")</f>
        <v/>
      </c>
      <c r="U26" s="68" t="str">
        <f>IFERROR(VLOOKUP(U$9,#REF!,36,FALSE),"")</f>
        <v/>
      </c>
      <c r="V26" s="68" t="str">
        <f>IFERROR(VLOOKUP(V$9,#REF!,36,FALSE),"")</f>
        <v/>
      </c>
      <c r="W26" s="68" t="str">
        <f>IFERROR(VLOOKUP(ACH$9,#REF!,36,FALSE),"")</f>
        <v/>
      </c>
      <c r="X26" s="68" t="str">
        <f>IFERROR(VLOOKUP(X$9,#REF!,36,FALSE),"")</f>
        <v/>
      </c>
      <c r="Y26" s="68" t="str">
        <f>IFERROR(VLOOKUP(Y$9,#REF!,36,FALSE),"")</f>
        <v/>
      </c>
      <c r="Z26" s="68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99" t="e">
        <f>#REF!</f>
        <v>#REF!</v>
      </c>
      <c r="AD26" s="100"/>
    </row>
    <row r="27" spans="1:30" ht="11.1" customHeight="1">
      <c r="A27" s="87">
        <v>12</v>
      </c>
      <c r="B27" s="64" t="s">
        <v>10</v>
      </c>
      <c r="C27" s="90" t="s">
        <v>78</v>
      </c>
      <c r="D27" s="98">
        <f>IF(cnt_新時瀬!$T$5=0,"",IF(演算タグ!D27&lt;0.05,"0.05未満",演算タグ!D27))</f>
        <v>0.06</v>
      </c>
      <c r="E27" s="98">
        <f>IF(cnt_小渡!$T$5=0,"",IF(演算タグ!F27&lt;0.05,"0.05未満",演算タグ!F27))</f>
        <v>0.06</v>
      </c>
      <c r="F27" s="98">
        <f>IF(cnt_万町!$T$5=0,"",IF(演算タグ!H27&lt;0.05,"0.05未満",演算タグ!H27))</f>
        <v>0.08</v>
      </c>
      <c r="G27" s="98">
        <f>IF(cnt_ぬくもり!$T$5=0,"",IF(演算タグ!J27&lt;0.05,"0.05未満",演算タグ!J27))</f>
        <v>0.08</v>
      </c>
      <c r="H27" s="98" t="str">
        <f>IF(cnt_日下部!$T$5=0,"",IF(演算タグ!L27&lt;0.05,"0.05未満",演算タグ!L27))</f>
        <v>0.05未満</v>
      </c>
      <c r="I27" s="98" t="str">
        <f>IF(cnt_旭高原!$T$5=0,"",IF(演算タグ!N27&lt;0.05,"0.05未満",演算タグ!N27))</f>
        <v>0.05未満</v>
      </c>
      <c r="J27" s="97"/>
      <c r="K27" s="98"/>
      <c r="L27" s="66" t="str">
        <f>IFERROR(VLOOKUP(L$9,#REF!,31,FALSE),"")</f>
        <v/>
      </c>
      <c r="M27" s="68" t="str">
        <f>IFERROR(VLOOKUP(M$9,#REF!,31,FALSE),"")</f>
        <v/>
      </c>
      <c r="N27" s="68" t="str">
        <f>IFERROR(VLOOKUP(N$9,#REF!,31,FALSE),"")</f>
        <v/>
      </c>
      <c r="O27" s="68" t="str">
        <f>IFERROR(VLOOKUP(O$9,#REF!,31,FALSE),"")</f>
        <v/>
      </c>
      <c r="P27" s="68" t="str">
        <f>IFERROR(VLOOKUP(P$9,#REF!,31,FALSE),"")</f>
        <v/>
      </c>
      <c r="Q27" s="68" t="str">
        <f>IFERROR(VLOOKUP(Q$9,#REF!,31,FALSE),"")</f>
        <v/>
      </c>
      <c r="R27" s="68" t="str">
        <f>IFERROR(VLOOKUP(R$9,#REF!,31,FALSE),"")</f>
        <v/>
      </c>
      <c r="S27" s="68" t="str">
        <f>IFERROR(VLOOKUP(S$9,#REF!,31,FALSE),"")</f>
        <v/>
      </c>
      <c r="T27" s="68" t="str">
        <f>IFERROR(VLOOKUP(T$9,#REF!,31,FALSE),"")</f>
        <v/>
      </c>
      <c r="U27" s="68" t="str">
        <f>IFERROR(VLOOKUP(U$9,#REF!,31,FALSE),"")</f>
        <v/>
      </c>
      <c r="V27" s="68" t="str">
        <f>IFERROR(VLOOKUP(V$9,#REF!,31,FALSE),"")</f>
        <v/>
      </c>
      <c r="W27" s="68" t="str">
        <f>IFERROR(VLOOKUP(ACH$9,#REF!,31,FALSE),"")</f>
        <v/>
      </c>
      <c r="X27" s="68" t="str">
        <f>IFERROR(VLOOKUP(X$9,#REF!,31,FALSE),"")</f>
        <v/>
      </c>
      <c r="Y27" s="68" t="str">
        <f>IFERROR(VLOOKUP(Y$9,#REF!,31,FALSE),"")</f>
        <v/>
      </c>
      <c r="Z27" s="68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71" t="e">
        <f>#REF!</f>
        <v>#REF!</v>
      </c>
      <c r="AD27" s="72"/>
    </row>
    <row r="28" spans="1:30" ht="11.1" customHeight="1">
      <c r="A28" s="87">
        <v>13</v>
      </c>
      <c r="B28" s="64" t="s">
        <v>11</v>
      </c>
      <c r="C28" s="90" t="s">
        <v>78</v>
      </c>
      <c r="D28" s="98" t="str">
        <f>IF(cnt_新時瀬!$I$5=0,"",IF(演算タグ!E28&lt;0.01,"0.01未満",演算タグ!E28))</f>
        <v/>
      </c>
      <c r="E28" s="98" t="str">
        <f>IF(cnt_小渡!$I$5=0,"",IF(演算タグ!G28&lt;0.01,"0.01未満",演算タグ!G28))</f>
        <v/>
      </c>
      <c r="F28" s="98" t="str">
        <f>IF(cnt_万町!$I$5=0,"",IF(演算タグ!I28&lt;0.01,"0.01未満",演算タグ!I28))</f>
        <v/>
      </c>
      <c r="G28" s="98" t="str">
        <f>IF(cnt_ぬくもり!$I$5=0,"",IF(演算タグ!K28&lt;0.01,"0.01未満",演算タグ!K28))</f>
        <v/>
      </c>
      <c r="H28" s="98" t="str">
        <f>IF(cnt_日下部!$I$5=0,"",IF(演算タグ!M28&lt;0.01,"0.01未満",演算タグ!M28))</f>
        <v/>
      </c>
      <c r="I28" s="98" t="str">
        <f>IF(cnt_旭高原!$I$5=0,"",IF(演算タグ!O28&lt;0.01,"0.01未満",演算タグ!O28))</f>
        <v/>
      </c>
      <c r="J28" s="97"/>
      <c r="K28" s="98"/>
      <c r="L28" s="66" t="str">
        <f>IFERROR(VLOOKUP(L$9,#REF!,17,FALSE),"")</f>
        <v/>
      </c>
      <c r="M28" s="68" t="str">
        <f>IFERROR(VLOOKUP(M$9,#REF!,17,FALSE),"")</f>
        <v/>
      </c>
      <c r="N28" s="68" t="str">
        <f>IFERROR(VLOOKUP(N$9,#REF!,17,FALSE),"")</f>
        <v/>
      </c>
      <c r="O28" s="68" t="str">
        <f>IFERROR(VLOOKUP(O$9,#REF!,17,FALSE),"")</f>
        <v/>
      </c>
      <c r="P28" s="68" t="str">
        <f>IFERROR(VLOOKUP(P$9,#REF!,17,FALSE),"")</f>
        <v/>
      </c>
      <c r="Q28" s="68" t="str">
        <f>IFERROR(VLOOKUP(Q$9,#REF!,17,FALSE),"")</f>
        <v/>
      </c>
      <c r="R28" s="68" t="str">
        <f>IFERROR(VLOOKUP(R$9,#REF!,17,FALSE),"")</f>
        <v/>
      </c>
      <c r="S28" s="68" t="str">
        <f>IFERROR(VLOOKUP(S$9,#REF!,17,FALSE),"")</f>
        <v/>
      </c>
      <c r="T28" s="68" t="str">
        <f>IFERROR(VLOOKUP(T$9,#REF!,17,FALSE),"")</f>
        <v/>
      </c>
      <c r="U28" s="68" t="str">
        <f>IFERROR(VLOOKUP(U$9,#REF!,17,FALSE),"")</f>
        <v/>
      </c>
      <c r="V28" s="68" t="str">
        <f>IFERROR(VLOOKUP(V$9,#REF!,17,FALSE),"")</f>
        <v/>
      </c>
      <c r="W28" s="68" t="str">
        <f>IFERROR(VLOOKUP(ACH$9,#REF!,17,FALSE),"")</f>
        <v/>
      </c>
      <c r="X28" s="68" t="str">
        <f>IFERROR(VLOOKUP(X$9,#REF!,17,FALSE),"")</f>
        <v/>
      </c>
      <c r="Y28" s="68" t="str">
        <f>IFERROR(VLOOKUP(Y$9,#REF!,17,FALSE),"")</f>
        <v/>
      </c>
      <c r="Z28" s="68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71" t="e">
        <f>#REF!</f>
        <v>#REF!</v>
      </c>
      <c r="AD28" s="72"/>
    </row>
    <row r="29" spans="1:30" ht="11.1" customHeight="1">
      <c r="A29" s="87">
        <v>14</v>
      </c>
      <c r="B29" s="64" t="s">
        <v>12</v>
      </c>
      <c r="C29" s="90" t="s">
        <v>78</v>
      </c>
      <c r="D29" s="92" t="str">
        <f>IF(cnt_新時瀬!$AA$5=0,"",IF(演算タグ!E29&lt;0.0002,"0.0002未満",演算タグ!E29))</f>
        <v/>
      </c>
      <c r="E29" s="92" t="str">
        <f>IF(cnt_小渡!$AA$5=0,"",IF(演算タグ!G29&lt;0.0002,"0.0002未満",演算タグ!G29))</f>
        <v/>
      </c>
      <c r="F29" s="92" t="str">
        <f>IF(cnt_万町!$AA$5=0,"",IF(演算タグ!I29&lt;0.0002,"0.0002未満",演算タグ!I29))</f>
        <v/>
      </c>
      <c r="G29" s="92" t="str">
        <f>IF(cnt_ぬくもり!$AA$5=0,"",IF(演算タグ!K29&lt;0.0002,"0.0002未満",演算タグ!K29))</f>
        <v/>
      </c>
      <c r="H29" s="92" t="str">
        <f>IF(cnt_日下部!$AA$5=0,"",IF(演算タグ!M29&lt;0.0002,"0.0002未満",演算タグ!M29))</f>
        <v/>
      </c>
      <c r="I29" s="92" t="str">
        <f>IF(cnt_旭高原!$AA$5=0,"",IF(演算タグ!O29&lt;0.0002,"0.0002未満",演算タグ!O29))</f>
        <v/>
      </c>
      <c r="J29" s="91"/>
      <c r="K29" s="92"/>
      <c r="L29" s="66" t="str">
        <f>IFERROR(VLOOKUP(L$9,#REF!,42,FALSE),"")</f>
        <v/>
      </c>
      <c r="M29" s="68" t="str">
        <f>IFERROR(VLOOKUP(M$9,#REF!,42,FALSE),"")</f>
        <v/>
      </c>
      <c r="N29" s="68" t="str">
        <f>IFERROR(VLOOKUP(N$9,#REF!,42,FALSE),"")</f>
        <v/>
      </c>
      <c r="O29" s="68" t="str">
        <f>IFERROR(VLOOKUP(O$9,#REF!,42,FALSE),"")</f>
        <v/>
      </c>
      <c r="P29" s="68" t="str">
        <f>IFERROR(VLOOKUP(P$9,#REF!,42,FALSE),"")</f>
        <v/>
      </c>
      <c r="Q29" s="68" t="str">
        <f>IFERROR(VLOOKUP(Q$9,#REF!,42,FALSE),"")</f>
        <v/>
      </c>
      <c r="R29" s="68" t="str">
        <f>IFERROR(VLOOKUP(R$9,#REF!,42,FALSE),"")</f>
        <v/>
      </c>
      <c r="S29" s="68" t="str">
        <f>IFERROR(VLOOKUP(S$9,#REF!,42,FALSE),"")</f>
        <v/>
      </c>
      <c r="T29" s="68" t="str">
        <f>IFERROR(VLOOKUP(T$9,#REF!,42,FALSE),"")</f>
        <v/>
      </c>
      <c r="U29" s="68" t="str">
        <f>IFERROR(VLOOKUP(U$9,#REF!,42,FALSE),"")</f>
        <v/>
      </c>
      <c r="V29" s="68" t="str">
        <f>IFERROR(VLOOKUP(V$9,#REF!,42,FALSE),"")</f>
        <v/>
      </c>
      <c r="W29" s="68" t="str">
        <f>IFERROR(VLOOKUP(ACH$9,#REF!,42,FALSE),"")</f>
        <v/>
      </c>
      <c r="X29" s="68" t="str">
        <f>IFERROR(VLOOKUP(X$9,#REF!,42,FALSE),"")</f>
        <v/>
      </c>
      <c r="Y29" s="68" t="str">
        <f>IFERROR(VLOOKUP(Y$9,#REF!,42,FALSE),"")</f>
        <v/>
      </c>
      <c r="Z29" s="68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71" t="e">
        <f>#REF!</f>
        <v>#REF!</v>
      </c>
      <c r="AD29" s="72"/>
    </row>
    <row r="30" spans="1:30" ht="11.1" customHeight="1">
      <c r="A30" s="87">
        <v>15</v>
      </c>
      <c r="B30" s="64" t="s">
        <v>100</v>
      </c>
      <c r="C30" s="90" t="s">
        <v>78</v>
      </c>
      <c r="D30" s="96" t="str">
        <f>IF(cnt_新時瀬!$AB$5=0,"",IF(演算タグ!E30&lt;0.001,"0.001未満",演算タグ!E30))</f>
        <v/>
      </c>
      <c r="E30" s="96" t="str">
        <f>IF(cnt_小渡!$AB$5=0,"",IF(演算タグ!G30&lt;0.001,"0.001未満",演算タグ!G30))</f>
        <v/>
      </c>
      <c r="F30" s="96" t="str">
        <f>IF(cnt_万町!$AB$5=0,"",IF(演算タグ!I30&lt;0.001,"0.001未満",演算タグ!I30))</f>
        <v/>
      </c>
      <c r="G30" s="96" t="str">
        <f>IF(cnt_ぬくもり!$AB$5=0,"",IF(演算タグ!K30&lt;0.001,"0.001未満",演算タグ!K30))</f>
        <v/>
      </c>
      <c r="H30" s="96" t="str">
        <f>IF(cnt_日下部!$AB$5=0,"",IF(演算タグ!M30&lt;0.001,"0.001未満",演算タグ!M30))</f>
        <v/>
      </c>
      <c r="I30" s="96" t="str">
        <f>IF(cnt_旭高原!$AB$5=0,"",IF(演算タグ!O30&lt;0.001,"0.001未満",演算タグ!O30))</f>
        <v/>
      </c>
      <c r="J30" s="95"/>
      <c r="K30" s="96"/>
      <c r="L30" s="66" t="str">
        <f>IFERROR(VLOOKUP(L$9,#REF!,43,FALSE),"")</f>
        <v/>
      </c>
      <c r="M30" s="68" t="str">
        <f>IFERROR(VLOOKUP(M$9,#REF!,43,FALSE),"")</f>
        <v/>
      </c>
      <c r="N30" s="68" t="str">
        <f>IFERROR(VLOOKUP(N$9,#REF!,43,FALSE),"")</f>
        <v/>
      </c>
      <c r="O30" s="68" t="str">
        <f>IFERROR(VLOOKUP(O$9,#REF!,43,FALSE),"")</f>
        <v/>
      </c>
      <c r="P30" s="68" t="str">
        <f>IFERROR(VLOOKUP(P$9,#REF!,43,FALSE),"")</f>
        <v/>
      </c>
      <c r="Q30" s="68" t="str">
        <f>IFERROR(VLOOKUP(Q$9,#REF!,43,FALSE),"")</f>
        <v/>
      </c>
      <c r="R30" s="68" t="str">
        <f>IFERROR(VLOOKUP(R$9,#REF!,43,FALSE),"")</f>
        <v/>
      </c>
      <c r="S30" s="68" t="str">
        <f>IFERROR(VLOOKUP(S$9,#REF!,43,FALSE),"")</f>
        <v/>
      </c>
      <c r="T30" s="68" t="str">
        <f>IFERROR(VLOOKUP(T$9,#REF!,43,FALSE),"")</f>
        <v/>
      </c>
      <c r="U30" s="68" t="str">
        <f>IFERROR(VLOOKUP(U$9,#REF!,43,FALSE),"")</f>
        <v/>
      </c>
      <c r="V30" s="68" t="str">
        <f>IFERROR(VLOOKUP(V$9,#REF!,43,FALSE),"")</f>
        <v/>
      </c>
      <c r="W30" s="68" t="str">
        <f>IFERROR(VLOOKUP(ACH$9,#REF!,43,FALSE),"")</f>
        <v/>
      </c>
      <c r="X30" s="68" t="str">
        <f>IFERROR(VLOOKUP(X$9,#REF!,43,FALSE),"")</f>
        <v/>
      </c>
      <c r="Y30" s="68" t="str">
        <f>IFERROR(VLOOKUP(Y$9,#REF!,43,FALSE),"")</f>
        <v/>
      </c>
      <c r="Z30" s="68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71" t="e">
        <f>#REF!</f>
        <v>#REF!</v>
      </c>
      <c r="AD30" s="72"/>
    </row>
    <row r="31" spans="1:30" ht="11.1" customHeight="1">
      <c r="A31" s="87">
        <v>16</v>
      </c>
      <c r="B31" s="64" t="s">
        <v>101</v>
      </c>
      <c r="C31" s="90" t="s">
        <v>78</v>
      </c>
      <c r="D31" s="96" t="str">
        <f>IF(cnt_新時瀬!$AC$5=0,"",IF(演算タグ!E31&lt;0.004,"0.004未満",演算タグ!E31))</f>
        <v/>
      </c>
      <c r="E31" s="96" t="str">
        <f>IF(cnt_小渡!$AC$5=0,"",IF(演算タグ!G31&lt;0.004,"0.004未満",演算タグ!G31))</f>
        <v/>
      </c>
      <c r="F31" s="96" t="str">
        <f>IF(cnt_万町!$AC$5=0,"",IF(演算タグ!I31&lt;0.004,"0.004未満",演算タグ!I31))</f>
        <v/>
      </c>
      <c r="G31" s="96" t="str">
        <f>IF(cnt_ぬくもり!$AC$5=0,"",IF(演算タグ!K31&lt;0.004,"0.004未満",演算タグ!K31))</f>
        <v/>
      </c>
      <c r="H31" s="96" t="str">
        <f>IF(cnt_日下部!$AC$5=0,"",IF(演算タグ!M31&lt;0.004,"0.004未満",演算タグ!M31))</f>
        <v/>
      </c>
      <c r="I31" s="96" t="str">
        <f>IF(cnt_旭高原!$AC$5=0,"",IF(演算タグ!O31&lt;0.004,"0.004未満",演算タグ!O31))</f>
        <v/>
      </c>
      <c r="J31" s="95"/>
      <c r="K31" s="96"/>
      <c r="L31" s="66" t="str">
        <f>IFERROR(VLOOKUP(L$9,#REF!,46,FALSE),"")</f>
        <v/>
      </c>
      <c r="M31" s="68" t="str">
        <f>IFERROR(VLOOKUP(M$9,#REF!,46,FALSE),"")</f>
        <v/>
      </c>
      <c r="N31" s="68" t="str">
        <f>IFERROR(VLOOKUP(N$9,#REF!,46,FALSE),"")</f>
        <v/>
      </c>
      <c r="O31" s="68" t="str">
        <f>IFERROR(VLOOKUP(O$9,#REF!,46,FALSE),"")</f>
        <v/>
      </c>
      <c r="P31" s="68" t="str">
        <f>IFERROR(VLOOKUP(P$9,#REF!,46,FALSE),"")</f>
        <v/>
      </c>
      <c r="Q31" s="68" t="str">
        <f>IFERROR(VLOOKUP(Q$9,#REF!,46,FALSE),"")</f>
        <v/>
      </c>
      <c r="R31" s="68" t="str">
        <f>IFERROR(VLOOKUP(R$9,#REF!,46,FALSE),"")</f>
        <v/>
      </c>
      <c r="S31" s="68" t="str">
        <f>IFERROR(VLOOKUP(S$9,#REF!,46,FALSE),"")</f>
        <v/>
      </c>
      <c r="T31" s="68" t="str">
        <f>IFERROR(VLOOKUP(T$9,#REF!,46,FALSE),"")</f>
        <v/>
      </c>
      <c r="U31" s="68" t="str">
        <f>IFERROR(VLOOKUP(U$9,#REF!,46,FALSE),"")</f>
        <v/>
      </c>
      <c r="V31" s="68" t="str">
        <f>IFERROR(VLOOKUP(V$9,#REF!,46,FALSE),"")</f>
        <v/>
      </c>
      <c r="W31" s="68" t="str">
        <f>IFERROR(VLOOKUP(ACH$9,#REF!,46,FALSE),"")</f>
        <v/>
      </c>
      <c r="X31" s="68" t="str">
        <f>IFERROR(VLOOKUP(X$9,#REF!,46,FALSE),"")</f>
        <v/>
      </c>
      <c r="Y31" s="68" t="str">
        <f>IFERROR(VLOOKUP(Y$9,#REF!,46,FALSE),"")</f>
        <v/>
      </c>
      <c r="Z31" s="68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71" t="e">
        <f>#REF!</f>
        <v>#REF!</v>
      </c>
      <c r="AD31" s="72"/>
    </row>
    <row r="32" spans="1:30" ht="11.1" customHeight="1">
      <c r="A32" s="87">
        <v>17</v>
      </c>
      <c r="B32" s="64" t="s">
        <v>13</v>
      </c>
      <c r="C32" s="90" t="s">
        <v>78</v>
      </c>
      <c r="D32" s="96" t="str">
        <f>IF(cnt_新時瀬!$AD$5=0,"",IF(演算タグ!E32&lt;0.001,"0.001未満",演算タグ!E32))</f>
        <v/>
      </c>
      <c r="E32" s="96" t="str">
        <f>IF(cnt_小渡!$AD$5=0,"",IF(演算タグ!G32&lt;0.001,"0.001未満",演算タグ!G32))</f>
        <v/>
      </c>
      <c r="F32" s="96" t="str">
        <f>IF(cnt_万町!$AD$5=0,"",IF(演算タグ!I32&lt;0.001,"0.001未満",演算タグ!I32))</f>
        <v/>
      </c>
      <c r="G32" s="96" t="str">
        <f>IF(cnt_ぬくもり!$AD$5=0,"",IF(演算タグ!K32&lt;0.001,"0.001未満",演算タグ!K32))</f>
        <v/>
      </c>
      <c r="H32" s="96" t="str">
        <f>IF(cnt_日下部!$AD$5=0,"",IF(演算タグ!M32&lt;0.001,"0.001未満",演算タグ!M32))</f>
        <v/>
      </c>
      <c r="I32" s="96" t="str">
        <f>IF(cnt_旭高原!$AD$5=0,"",IF(演算タグ!O32&lt;0.001,"0.001未満",演算タグ!O32))</f>
        <v/>
      </c>
      <c r="J32" s="95"/>
      <c r="K32" s="96"/>
      <c r="L32" s="66" t="str">
        <f>IFERROR(VLOOKUP(L$9,#REF!,47,FALSE),"")</f>
        <v/>
      </c>
      <c r="M32" s="68" t="str">
        <f>IFERROR(VLOOKUP(M$9,#REF!,47,FALSE),"")</f>
        <v/>
      </c>
      <c r="N32" s="68" t="str">
        <f>IFERROR(VLOOKUP(N$9,#REF!,47,FALSE),"")</f>
        <v/>
      </c>
      <c r="O32" s="68" t="str">
        <f>IFERROR(VLOOKUP(O$9,#REF!,47,FALSE),"")</f>
        <v/>
      </c>
      <c r="P32" s="68" t="str">
        <f>IFERROR(VLOOKUP(P$9,#REF!,47,FALSE),"")</f>
        <v/>
      </c>
      <c r="Q32" s="68" t="str">
        <f>IFERROR(VLOOKUP(Q$9,#REF!,47,FALSE),"")</f>
        <v/>
      </c>
      <c r="R32" s="68" t="str">
        <f>IFERROR(VLOOKUP(R$9,#REF!,47,FALSE),"")</f>
        <v/>
      </c>
      <c r="S32" s="68" t="str">
        <f>IFERROR(VLOOKUP(S$9,#REF!,47,FALSE),"")</f>
        <v/>
      </c>
      <c r="T32" s="68" t="str">
        <f>IFERROR(VLOOKUP(T$9,#REF!,47,FALSE),"")</f>
        <v/>
      </c>
      <c r="U32" s="68" t="str">
        <f>IFERROR(VLOOKUP(U$9,#REF!,47,FALSE),"")</f>
        <v/>
      </c>
      <c r="V32" s="68" t="str">
        <f>IFERROR(VLOOKUP(V$9,#REF!,47,FALSE),"")</f>
        <v/>
      </c>
      <c r="W32" s="68" t="str">
        <f>IFERROR(VLOOKUP(ACH$9,#REF!,47,FALSE),"")</f>
        <v/>
      </c>
      <c r="X32" s="68" t="str">
        <f>IFERROR(VLOOKUP(X$9,#REF!,47,FALSE),"")</f>
        <v/>
      </c>
      <c r="Y32" s="68" t="str">
        <f>IFERROR(VLOOKUP(Y$9,#REF!,47,FALSE),"")</f>
        <v/>
      </c>
      <c r="Z32" s="68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71" t="e">
        <f>#REF!</f>
        <v>#REF!</v>
      </c>
      <c r="AD32" s="72"/>
    </row>
    <row r="33" spans="1:30" ht="11.1" customHeight="1">
      <c r="A33" s="87">
        <v>18</v>
      </c>
      <c r="B33" s="64" t="s">
        <v>14</v>
      </c>
      <c r="C33" s="90" t="s">
        <v>78</v>
      </c>
      <c r="D33" s="96" t="str">
        <f>IF(cnt_新時瀬!$AE$5=0,"",IF(演算タグ!E33&lt;0.001,"0.001未満",演算タグ!E33))</f>
        <v/>
      </c>
      <c r="E33" s="96" t="str">
        <f>IF(cnt_小渡!$AE$5=0,"",IF(演算タグ!G33&lt;0.001,"0.001未満",演算タグ!G33))</f>
        <v/>
      </c>
      <c r="F33" s="96" t="str">
        <f>IF(cnt_万町!$AE$5=0,"",IF(演算タグ!I33&lt;0.001,"0.001未満",演算タグ!I33))</f>
        <v/>
      </c>
      <c r="G33" s="96" t="str">
        <f>IF(cnt_ぬくもり!$AE$5=0,"",IF(演算タグ!K33&lt;0.001,"0.001未満",演算タグ!K33))</f>
        <v/>
      </c>
      <c r="H33" s="96" t="str">
        <f>IF(cnt_日下部!$AE$5=0,"",IF(演算タグ!M33&lt;0.001,"0.001未満",演算タグ!M33))</f>
        <v/>
      </c>
      <c r="I33" s="96" t="str">
        <f>IF(cnt_旭高原!$AE$5=0,"",IF(演算タグ!O33&lt;0.001,"0.001未満",演算タグ!O33))</f>
        <v/>
      </c>
      <c r="J33" s="95"/>
      <c r="K33" s="96"/>
      <c r="L33" s="66" t="str">
        <f>IFERROR(VLOOKUP(L$9,#REF!,48,FALSE),"")</f>
        <v/>
      </c>
      <c r="M33" s="68" t="str">
        <f>IFERROR(VLOOKUP(M$9,#REF!,48,FALSE),"")</f>
        <v/>
      </c>
      <c r="N33" s="68" t="str">
        <f>IFERROR(VLOOKUP(N$9,#REF!,48,FALSE),"")</f>
        <v/>
      </c>
      <c r="O33" s="68" t="str">
        <f>IFERROR(VLOOKUP(O$9,#REF!,48,FALSE),"")</f>
        <v/>
      </c>
      <c r="P33" s="68" t="str">
        <f>IFERROR(VLOOKUP(P$9,#REF!,48,FALSE),"")</f>
        <v/>
      </c>
      <c r="Q33" s="68" t="str">
        <f>IFERROR(VLOOKUP(Q$9,#REF!,48,FALSE),"")</f>
        <v/>
      </c>
      <c r="R33" s="68" t="str">
        <f>IFERROR(VLOOKUP(R$9,#REF!,48,FALSE),"")</f>
        <v/>
      </c>
      <c r="S33" s="68" t="str">
        <f>IFERROR(VLOOKUP(S$9,#REF!,48,FALSE),"")</f>
        <v/>
      </c>
      <c r="T33" s="68" t="str">
        <f>IFERROR(VLOOKUP(T$9,#REF!,48,FALSE),"")</f>
        <v/>
      </c>
      <c r="U33" s="68" t="str">
        <f>IFERROR(VLOOKUP(U$9,#REF!,48,FALSE),"")</f>
        <v/>
      </c>
      <c r="V33" s="68" t="str">
        <f>IFERROR(VLOOKUP(V$9,#REF!,48,FALSE),"")</f>
        <v/>
      </c>
      <c r="W33" s="68" t="str">
        <f>IFERROR(VLOOKUP(ACH$9,#REF!,48,FALSE),"")</f>
        <v/>
      </c>
      <c r="X33" s="68" t="str">
        <f>IFERROR(VLOOKUP(X$9,#REF!,48,FALSE),"")</f>
        <v/>
      </c>
      <c r="Y33" s="68" t="str">
        <f>IFERROR(VLOOKUP(Y$9,#REF!,48,FALSE),"")</f>
        <v/>
      </c>
      <c r="Z33" s="68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71" t="e">
        <f>#REF!</f>
        <v>#REF!</v>
      </c>
      <c r="AD33" s="72"/>
    </row>
    <row r="34" spans="1:30" ht="11.1" customHeight="1">
      <c r="A34" s="87">
        <v>19</v>
      </c>
      <c r="B34" s="64" t="s">
        <v>15</v>
      </c>
      <c r="C34" s="90" t="s">
        <v>78</v>
      </c>
      <c r="D34" s="96" t="str">
        <f>IF(cnt_新時瀬!$AF$5=0,"",IF(演算タグ!E34&lt;0.001,"0.001未満",演算タグ!E34))</f>
        <v/>
      </c>
      <c r="E34" s="96" t="str">
        <f>IF(cnt_小渡!$AF$5=0,"",IF(演算タグ!G34&lt;0.001,"0.001未満",演算タグ!G34))</f>
        <v/>
      </c>
      <c r="F34" s="96" t="str">
        <f>IF(cnt_万町!$AF$5=0,"",IF(演算タグ!I34&lt;0.001,"0.001未満",演算タグ!I34))</f>
        <v/>
      </c>
      <c r="G34" s="96" t="str">
        <f>IF(cnt_ぬくもり!$AF$5=0,"",IF(演算タグ!K34&lt;0.001,"0.001未満",演算タグ!K34))</f>
        <v/>
      </c>
      <c r="H34" s="96" t="str">
        <f>IF(cnt_日下部!$AF$5=0,"",IF(演算タグ!M34&lt;0.001,"0.001未満",演算タグ!M34))</f>
        <v/>
      </c>
      <c r="I34" s="96" t="str">
        <f>IF(cnt_旭高原!$AF$5=0,"",IF(演算タグ!O34&lt;0.001,"0.001未満",演算タグ!O34))</f>
        <v/>
      </c>
      <c r="J34" s="95"/>
      <c r="K34" s="96"/>
      <c r="L34" s="66" t="str">
        <f>IFERROR(VLOOKUP(L$9,#REF!,49,FALSE),"")</f>
        <v/>
      </c>
      <c r="M34" s="68" t="str">
        <f>IFERROR(VLOOKUP(M$9,#REF!,49,FALSE),"")</f>
        <v/>
      </c>
      <c r="N34" s="68" t="str">
        <f>IFERROR(VLOOKUP(N$9,#REF!,49,FALSE),"")</f>
        <v/>
      </c>
      <c r="O34" s="68" t="str">
        <f>IFERROR(VLOOKUP(O$9,#REF!,49,FALSE),"")</f>
        <v/>
      </c>
      <c r="P34" s="68" t="str">
        <f>IFERROR(VLOOKUP(P$9,#REF!,49,FALSE),"")</f>
        <v/>
      </c>
      <c r="Q34" s="68" t="str">
        <f>IFERROR(VLOOKUP(Q$9,#REF!,49,FALSE),"")</f>
        <v/>
      </c>
      <c r="R34" s="68" t="str">
        <f>IFERROR(VLOOKUP(R$9,#REF!,49,FALSE),"")</f>
        <v/>
      </c>
      <c r="S34" s="68" t="str">
        <f>IFERROR(VLOOKUP(S$9,#REF!,49,FALSE),"")</f>
        <v/>
      </c>
      <c r="T34" s="68" t="str">
        <f>IFERROR(VLOOKUP(T$9,#REF!,49,FALSE),"")</f>
        <v/>
      </c>
      <c r="U34" s="68" t="str">
        <f>IFERROR(VLOOKUP(U$9,#REF!,49,FALSE),"")</f>
        <v/>
      </c>
      <c r="V34" s="68" t="str">
        <f>IFERROR(VLOOKUP(V$9,#REF!,49,FALSE),"")</f>
        <v/>
      </c>
      <c r="W34" s="68" t="str">
        <f>IFERROR(VLOOKUP(ACH$9,#REF!,49,FALSE),"")</f>
        <v/>
      </c>
      <c r="X34" s="68" t="str">
        <f>IFERROR(VLOOKUP(X$9,#REF!,49,FALSE),"")</f>
        <v/>
      </c>
      <c r="Y34" s="68" t="str">
        <f>IFERROR(VLOOKUP(Y$9,#REF!,49,FALSE),"")</f>
        <v/>
      </c>
      <c r="Z34" s="68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71" t="e">
        <f>#REF!</f>
        <v>#REF!</v>
      </c>
      <c r="AD34" s="72"/>
    </row>
    <row r="35" spans="1:30" ht="11.1" customHeight="1">
      <c r="A35" s="87">
        <v>20</v>
      </c>
      <c r="B35" s="64" t="s">
        <v>16</v>
      </c>
      <c r="C35" s="90" t="s">
        <v>78</v>
      </c>
      <c r="D35" s="96" t="str">
        <f>IF(cnt_新時瀬!$AG$5=0,"",IF(演算タグ!E35&lt;0.001,"0.001未満",演算タグ!E35))</f>
        <v/>
      </c>
      <c r="E35" s="96" t="str">
        <f>IF(cnt_小渡!$AG$5=0,"",IF(演算タグ!G35&lt;0.001,"0.001未満",演算タグ!G35))</f>
        <v/>
      </c>
      <c r="F35" s="96" t="str">
        <f>IF(cnt_万町!$AG$5=0,"",IF(演算タグ!I35&lt;0.001,"0.001未満",演算タグ!I35))</f>
        <v/>
      </c>
      <c r="G35" s="96" t="str">
        <f>IF(cnt_ぬくもり!$AG$5=0,"",IF(演算タグ!K35&lt;0.001,"0.001未満",演算タグ!K35))</f>
        <v/>
      </c>
      <c r="H35" s="96" t="str">
        <f>IF(cnt_日下部!$AG$5=0,"",IF(演算タグ!M35&lt;0.001,"0.001未満",演算タグ!M35))</f>
        <v/>
      </c>
      <c r="I35" s="96" t="str">
        <f>IF(cnt_旭高原!$AG$5=0,"",IF(演算タグ!O35&lt;0.001,"0.001未満",演算タグ!O35))</f>
        <v/>
      </c>
      <c r="J35" s="95"/>
      <c r="K35" s="96"/>
      <c r="L35" s="66" t="str">
        <f>IFERROR(VLOOKUP(L$9,#REF!,50,FALSE),"")</f>
        <v/>
      </c>
      <c r="M35" s="68" t="str">
        <f>IFERROR(VLOOKUP(M$9,#REF!,50,FALSE),"")</f>
        <v/>
      </c>
      <c r="N35" s="68" t="str">
        <f>IFERROR(VLOOKUP(N$9,#REF!,50,FALSE),"")</f>
        <v/>
      </c>
      <c r="O35" s="68" t="str">
        <f>IFERROR(VLOOKUP(O$9,#REF!,50,FALSE),"")</f>
        <v/>
      </c>
      <c r="P35" s="68" t="str">
        <f>IFERROR(VLOOKUP(P$9,#REF!,50,FALSE),"")</f>
        <v/>
      </c>
      <c r="Q35" s="68" t="str">
        <f>IFERROR(VLOOKUP(Q$9,#REF!,50,FALSE),"")</f>
        <v/>
      </c>
      <c r="R35" s="68" t="str">
        <f>IFERROR(VLOOKUP(R$9,#REF!,50,FALSE),"")</f>
        <v/>
      </c>
      <c r="S35" s="68" t="str">
        <f>IFERROR(VLOOKUP(S$9,#REF!,50,FALSE),"")</f>
        <v/>
      </c>
      <c r="T35" s="68" t="str">
        <f>IFERROR(VLOOKUP(T$9,#REF!,50,FALSE),"")</f>
        <v/>
      </c>
      <c r="U35" s="68" t="str">
        <f>IFERROR(VLOOKUP(U$9,#REF!,50,FALSE),"")</f>
        <v/>
      </c>
      <c r="V35" s="68" t="str">
        <f>IFERROR(VLOOKUP(V$9,#REF!,50,FALSE),"")</f>
        <v/>
      </c>
      <c r="W35" s="68" t="str">
        <f>IFERROR(VLOOKUP(ACH$9,#REF!,50,FALSE),"")</f>
        <v/>
      </c>
      <c r="X35" s="68" t="str">
        <f>IFERROR(VLOOKUP(X$9,#REF!,50,FALSE),"")</f>
        <v/>
      </c>
      <c r="Y35" s="68" t="str">
        <f>IFERROR(VLOOKUP(Y$9,#REF!,50,FALSE),"")</f>
        <v/>
      </c>
      <c r="Z35" s="68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71" t="e">
        <f>#REF!</f>
        <v>#REF!</v>
      </c>
      <c r="AD35" s="72"/>
    </row>
    <row r="36" spans="1:30" ht="11.1" customHeight="1">
      <c r="A36" s="87">
        <v>21</v>
      </c>
      <c r="B36" s="64" t="s">
        <v>17</v>
      </c>
      <c r="C36" s="90" t="s">
        <v>78</v>
      </c>
      <c r="D36" s="98">
        <f>IF(cnt_新時瀬!$V$5=0,"",IF(演算タグ!D36&lt;0.05,"0.05未満",演算タグ!D36))</f>
        <v>0.08</v>
      </c>
      <c r="E36" s="98">
        <f>IF(cnt_小渡!$V$5=0,"",IF(演算タグ!F36&lt;0.05,"0.05未満",演算タグ!F36))</f>
        <v>0.08</v>
      </c>
      <c r="F36" s="98">
        <f>IF(cnt_万町!$V$5=0,"",IF(演算タグ!H36&lt;0.05,"0.05未満",演算タグ!H36))</f>
        <v>0.13</v>
      </c>
      <c r="G36" s="98">
        <f>IF(cnt_ぬくもり!$V$5=0,"",IF(演算タグ!J36&lt;0.05,"0.05未満",演算タグ!J36))</f>
        <v>0.13</v>
      </c>
      <c r="H36" s="98">
        <f>IF(cnt_日下部!$V$5=0,"",IF(演算タグ!L36&lt;0.05,"0.05未満",演算タグ!L36))</f>
        <v>0.11</v>
      </c>
      <c r="I36" s="98">
        <f>IF(cnt_旭高原!$V$5=0,"",IF(演算タグ!N36&lt;0.05,"0.05未満",演算タグ!N36))</f>
        <v>0.16</v>
      </c>
      <c r="J36" s="97"/>
      <c r="K36" s="98"/>
      <c r="L36" s="66" t="str">
        <f>IFERROR(VLOOKUP(L$9,#REF!,33,FALSE),"")</f>
        <v/>
      </c>
      <c r="M36" s="68" t="str">
        <f>IFERROR(VLOOKUP(M$9,#REF!,33,FALSE),"")</f>
        <v/>
      </c>
      <c r="N36" s="68" t="str">
        <f>IFERROR(VLOOKUP(N$9,#REF!,33,FALSE),"")</f>
        <v/>
      </c>
      <c r="O36" s="68" t="str">
        <f>IFERROR(VLOOKUP(O$9,#REF!,33,FALSE),"")</f>
        <v/>
      </c>
      <c r="P36" s="68" t="str">
        <f>IFERROR(VLOOKUP(P$9,#REF!,33,FALSE),"")</f>
        <v/>
      </c>
      <c r="Q36" s="68" t="str">
        <f>IFERROR(VLOOKUP(Q$9,#REF!,33,FALSE),"")</f>
        <v/>
      </c>
      <c r="R36" s="68" t="str">
        <f>IFERROR(VLOOKUP(R$9,#REF!,33,FALSE),"")</f>
        <v/>
      </c>
      <c r="S36" s="68" t="str">
        <f>IFERROR(VLOOKUP(S$9,#REF!,33,FALSE),"")</f>
        <v/>
      </c>
      <c r="T36" s="68" t="str">
        <f>IFERROR(VLOOKUP(T$9,#REF!,33,FALSE),"")</f>
        <v/>
      </c>
      <c r="U36" s="68" t="str">
        <f>IFERROR(VLOOKUP(U$9,#REF!,33,FALSE),"")</f>
        <v/>
      </c>
      <c r="V36" s="68" t="str">
        <f>IFERROR(VLOOKUP(V$9,#REF!,33,FALSE),"")</f>
        <v/>
      </c>
      <c r="W36" s="68" t="str">
        <f>IFERROR(VLOOKUP(ACH$9,#REF!,33,FALSE),"")</f>
        <v/>
      </c>
      <c r="X36" s="68" t="str">
        <f>IFERROR(VLOOKUP(X$9,#REF!,33,FALSE),"")</f>
        <v/>
      </c>
      <c r="Y36" s="68" t="str">
        <f>IFERROR(VLOOKUP(Y$9,#REF!,33,FALSE),"")</f>
        <v/>
      </c>
      <c r="Z36" s="68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71" t="e">
        <f>#REF!</f>
        <v>#REF!</v>
      </c>
      <c r="AD36" s="72"/>
    </row>
    <row r="37" spans="1:30" ht="11.1" customHeight="1">
      <c r="A37" s="87">
        <v>22</v>
      </c>
      <c r="B37" s="64" t="s">
        <v>18</v>
      </c>
      <c r="C37" s="90" t="s">
        <v>78</v>
      </c>
      <c r="D37" s="96" t="str">
        <f>IF(cnt_新時瀬!$AR$5=0,"",IF(演算タグ!D37&lt;0.002,"0.002未満",演算タグ!D37))</f>
        <v/>
      </c>
      <c r="E37" s="96" t="str">
        <f>IF(cnt_小渡!$AR$5=0,"",IF(演算タグ!F37&lt;0.002,"0.002未満",演算タグ!F37))</f>
        <v/>
      </c>
      <c r="F37" s="96" t="str">
        <f>IF(cnt_万町!$AR$5=0,"",IF(演算タグ!H37&lt;0.002,"0.002未満",演算タグ!H37))</f>
        <v/>
      </c>
      <c r="G37" s="96" t="str">
        <f>IF(cnt_ぬくもり!$AR$5=0,"",IF(演算タグ!J37&lt;0.002,"0.002未満",演算タグ!J37))</f>
        <v/>
      </c>
      <c r="H37" s="96" t="str">
        <f>IF(cnt_日下部!$AR$5=0,"",IF(演算タグ!L37&lt;0.002,"0.002未満",演算タグ!L37))</f>
        <v/>
      </c>
      <c r="I37" s="96" t="str">
        <f>IF(cnt_旭高原!$AR$5=0,"",IF(演算タグ!N37&lt;0.002,"0.002未満",演算タグ!N37))</f>
        <v/>
      </c>
      <c r="J37" s="95"/>
      <c r="K37" s="96"/>
      <c r="L37" s="66" t="str">
        <f>IFERROR(VLOOKUP(L$9,#REF!,57,FALSE),"")</f>
        <v/>
      </c>
      <c r="M37" s="68" t="str">
        <f>IFERROR(VLOOKUP(M$9,#REF!,57,FALSE),"")</f>
        <v/>
      </c>
      <c r="N37" s="68" t="str">
        <f>IFERROR(VLOOKUP(N$9,#REF!,57,FALSE),"")</f>
        <v/>
      </c>
      <c r="O37" s="68" t="str">
        <f>IFERROR(VLOOKUP(O$9,#REF!,57,FALSE),"")</f>
        <v/>
      </c>
      <c r="P37" s="68" t="str">
        <f>IFERROR(VLOOKUP(P$9,#REF!,57,FALSE),"")</f>
        <v/>
      </c>
      <c r="Q37" s="68" t="str">
        <f>IFERROR(VLOOKUP(Q$9,#REF!,57,FALSE),"")</f>
        <v/>
      </c>
      <c r="R37" s="68" t="str">
        <f>IFERROR(VLOOKUP(R$9,#REF!,57,FALSE),"")</f>
        <v/>
      </c>
      <c r="S37" s="68" t="str">
        <f>IFERROR(VLOOKUP(S$9,#REF!,57,FALSE),"")</f>
        <v/>
      </c>
      <c r="T37" s="68" t="str">
        <f>IFERROR(VLOOKUP(T$9,#REF!,57,FALSE),"")</f>
        <v/>
      </c>
      <c r="U37" s="68" t="str">
        <f>IFERROR(VLOOKUP(U$9,#REF!,57,FALSE),"")</f>
        <v/>
      </c>
      <c r="V37" s="68" t="str">
        <f>IFERROR(VLOOKUP(V$9,#REF!,57,FALSE),"")</f>
        <v/>
      </c>
      <c r="W37" s="68" t="str">
        <f>IFERROR(VLOOKUP(ACH$9,#REF!,57,FALSE),"")</f>
        <v/>
      </c>
      <c r="X37" s="68" t="str">
        <f>IFERROR(VLOOKUP(X$9,#REF!,57,FALSE),"")</f>
        <v/>
      </c>
      <c r="Y37" s="68" t="str">
        <f>IFERROR(VLOOKUP(Y$9,#REF!,57,FALSE),"")</f>
        <v/>
      </c>
      <c r="Z37" s="68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71" t="e">
        <f>#REF!</f>
        <v>#REF!</v>
      </c>
      <c r="AD37" s="72"/>
    </row>
    <row r="38" spans="1:30" ht="11.1" customHeight="1">
      <c r="A38" s="87">
        <v>23</v>
      </c>
      <c r="B38" s="64" t="s">
        <v>19</v>
      </c>
      <c r="C38" s="90" t="s">
        <v>78</v>
      </c>
      <c r="D38" s="96" t="str">
        <f>IF(cnt_新時瀬!$AH$5=0,"",IF(演算タグ!E38&lt;0.001,"0.001未満",演算タグ!E38))</f>
        <v/>
      </c>
      <c r="E38" s="96" t="str">
        <f>IF(cnt_小渡!$AH$5=0,"",IF(演算タグ!G38&lt;0.001,"0.001未満",演算タグ!G38))</f>
        <v/>
      </c>
      <c r="F38" s="96" t="str">
        <f>IF(cnt_万町!$AH$5=0,"",IF(演算タグ!I38&lt;0.001,"0.001未満",演算タグ!I38))</f>
        <v/>
      </c>
      <c r="G38" s="96" t="str">
        <f>IF(cnt_ぬくもり!$AH$5=0,"",IF(演算タグ!K38&lt;0.001,"0.001未満",演算タグ!K38))</f>
        <v/>
      </c>
      <c r="H38" s="96" t="str">
        <f>IF(cnt_日下部!$AH$5=0,"",IF(演算タグ!M38&lt;0.001,"0.001未満",演算タグ!M38))</f>
        <v/>
      </c>
      <c r="I38" s="96" t="str">
        <f>IF(cnt_旭高原!$AH$5=0,"",IF(演算タグ!O38&lt;0.001,"0.001未満",演算タグ!O38))</f>
        <v/>
      </c>
      <c r="J38" s="95"/>
      <c r="K38" s="96"/>
      <c r="L38" s="66" t="str">
        <f>IFERROR(VLOOKUP(L$9,#REF!,51,FALSE),"")</f>
        <v/>
      </c>
      <c r="M38" s="68" t="str">
        <f>IFERROR(VLOOKUP(M$9,#REF!,51,FALSE),"")</f>
        <v/>
      </c>
      <c r="N38" s="68" t="str">
        <f>IFERROR(VLOOKUP(N$9,#REF!,51,FALSE),"")</f>
        <v/>
      </c>
      <c r="O38" s="68" t="str">
        <f>IFERROR(VLOOKUP(O$9,#REF!,51,FALSE),"")</f>
        <v/>
      </c>
      <c r="P38" s="68" t="str">
        <f>IFERROR(VLOOKUP(P$9,#REF!,51,FALSE),"")</f>
        <v/>
      </c>
      <c r="Q38" s="68" t="str">
        <f>IFERROR(VLOOKUP(Q$9,#REF!,51,FALSE),"")</f>
        <v/>
      </c>
      <c r="R38" s="68" t="str">
        <f>IFERROR(VLOOKUP(R$9,#REF!,51,FALSE),"")</f>
        <v/>
      </c>
      <c r="S38" s="68" t="str">
        <f>IFERROR(VLOOKUP(S$9,#REF!,51,FALSE),"")</f>
        <v/>
      </c>
      <c r="T38" s="68" t="str">
        <f>IFERROR(VLOOKUP(T$9,#REF!,51,FALSE),"")</f>
        <v/>
      </c>
      <c r="U38" s="68" t="str">
        <f>IFERROR(VLOOKUP(U$9,#REF!,51,FALSE),"")</f>
        <v/>
      </c>
      <c r="V38" s="68" t="str">
        <f>IFERROR(VLOOKUP(V$9,#REF!,51,FALSE),"")</f>
        <v/>
      </c>
      <c r="W38" s="68" t="str">
        <f>IFERROR(VLOOKUP(ACH$9,#REF!,51,FALSE),"")</f>
        <v/>
      </c>
      <c r="X38" s="68" t="str">
        <f>IFERROR(VLOOKUP(X$9,#REF!,51,FALSE),"")</f>
        <v/>
      </c>
      <c r="Y38" s="68" t="str">
        <f>IFERROR(VLOOKUP(Y$9,#REF!,51,FALSE),"")</f>
        <v/>
      </c>
      <c r="Z38" s="68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71" t="e">
        <f>#REF!</f>
        <v>#REF!</v>
      </c>
      <c r="AD38" s="72"/>
    </row>
    <row r="39" spans="1:30" ht="11.1" customHeight="1">
      <c r="A39" s="87">
        <v>24</v>
      </c>
      <c r="B39" s="64" t="s">
        <v>20</v>
      </c>
      <c r="C39" s="90" t="s">
        <v>78</v>
      </c>
      <c r="D39" s="96" t="str">
        <f>IF(cnt_新時瀬!$AS$5=0,"",IF(演算タグ!D39&lt;0.002,"0.002未満",演算タグ!D39))</f>
        <v/>
      </c>
      <c r="E39" s="96" t="str">
        <f>IF(cnt_小渡!$AS$5=0,"",IF(演算タグ!F39&lt;0.002,"0.002未満",演算タグ!F39))</f>
        <v/>
      </c>
      <c r="F39" s="96" t="str">
        <f>IF(cnt_万町!$AS$5=0,"",IF(演算タグ!H39&lt;0.002,"0.002未満",演算タグ!H39))</f>
        <v/>
      </c>
      <c r="G39" s="96" t="str">
        <f>IF(cnt_ぬくもり!$AS$5=0,"",IF(演算タグ!J39&lt;0.002,"0.002未満",演算タグ!J39))</f>
        <v/>
      </c>
      <c r="H39" s="96" t="str">
        <f>IF(cnt_日下部!$AS$5=0,"",IF(演算タグ!L39&lt;0.002,"0.002未満",演算タグ!L39))</f>
        <v/>
      </c>
      <c r="I39" s="96" t="str">
        <f>IF(cnt_旭高原!$AS$5=0,"",IF(演算タグ!N39&lt;0.002,"0.002未満",演算タグ!N39))</f>
        <v/>
      </c>
      <c r="J39" s="95"/>
      <c r="K39" s="96"/>
      <c r="L39" s="66" t="str">
        <f>IFERROR(VLOOKUP(L$9,#REF!,58,FALSE),"")</f>
        <v/>
      </c>
      <c r="M39" s="68" t="str">
        <f>IFERROR(VLOOKUP(M$9,#REF!,58,FALSE),"")</f>
        <v/>
      </c>
      <c r="N39" s="68" t="str">
        <f>IFERROR(VLOOKUP(N$9,#REF!,58,FALSE),"")</f>
        <v/>
      </c>
      <c r="O39" s="68" t="str">
        <f>IFERROR(VLOOKUP(O$9,#REF!,58,FALSE),"")</f>
        <v/>
      </c>
      <c r="P39" s="68" t="str">
        <f>IFERROR(VLOOKUP(P$9,#REF!,58,FALSE),"")</f>
        <v/>
      </c>
      <c r="Q39" s="68" t="str">
        <f>IFERROR(VLOOKUP(Q$9,#REF!,58,FALSE),"")</f>
        <v/>
      </c>
      <c r="R39" s="68" t="str">
        <f>IFERROR(VLOOKUP(R$9,#REF!,58,FALSE),"")</f>
        <v/>
      </c>
      <c r="S39" s="68" t="str">
        <f>IFERROR(VLOOKUP(S$9,#REF!,58,FALSE),"")</f>
        <v/>
      </c>
      <c r="T39" s="68" t="str">
        <f>IFERROR(VLOOKUP(T$9,#REF!,58,FALSE),"")</f>
        <v/>
      </c>
      <c r="U39" s="68" t="str">
        <f>IFERROR(VLOOKUP(U$9,#REF!,58,FALSE),"")</f>
        <v/>
      </c>
      <c r="V39" s="68" t="str">
        <f>IFERROR(VLOOKUP(V$9,#REF!,58,FALSE),"")</f>
        <v/>
      </c>
      <c r="W39" s="68" t="str">
        <f>IFERROR(VLOOKUP(ACH$9,#REF!,58,FALSE),"")</f>
        <v/>
      </c>
      <c r="X39" s="68" t="str">
        <f>IFERROR(VLOOKUP(X$9,#REF!,58,FALSE),"")</f>
        <v/>
      </c>
      <c r="Y39" s="68" t="str">
        <f>IFERROR(VLOOKUP(Y$9,#REF!,58,FALSE),"")</f>
        <v/>
      </c>
      <c r="Z39" s="68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71" t="e">
        <f>#REF!</f>
        <v>#REF!</v>
      </c>
      <c r="AD39" s="72"/>
    </row>
    <row r="40" spans="1:30" ht="11.1" customHeight="1">
      <c r="A40" s="87">
        <v>25</v>
      </c>
      <c r="B40" s="64" t="s">
        <v>21</v>
      </c>
      <c r="C40" s="90" t="s">
        <v>78</v>
      </c>
      <c r="D40" s="96" t="str">
        <f>IF(cnt_新時瀬!$AI$5=0,"",IF(演算タグ!E40&lt;0.001,"0.001未満",演算タグ!E40))</f>
        <v/>
      </c>
      <c r="E40" s="96" t="str">
        <f>IF(cnt_小渡!$AI$5=0,"",IF(演算タグ!G40&lt;0.001,"0.001未満",演算タグ!G40))</f>
        <v/>
      </c>
      <c r="F40" s="96" t="str">
        <f>IF(cnt_万町!$AI$5=0,"",IF(演算タグ!I40&lt;0.001,"0.001未満",演算タグ!I40))</f>
        <v/>
      </c>
      <c r="G40" s="96" t="str">
        <f>IF(cnt_ぬくもり!$AI$5=0,"",IF(演算タグ!K40&lt;0.001,"0.001未満",演算タグ!K40))</f>
        <v/>
      </c>
      <c r="H40" s="96" t="str">
        <f>IF(cnt_日下部!$AI$5=0,"",IF(演算タグ!M40&lt;0.001,"0.001未満",演算タグ!M40))</f>
        <v/>
      </c>
      <c r="I40" s="96" t="str">
        <f>IF(cnt_旭高原!$AI$5=0,"",IF(演算タグ!O40&lt;0.001,"0.001未満",演算タグ!O40))</f>
        <v/>
      </c>
      <c r="J40" s="95"/>
      <c r="K40" s="96"/>
      <c r="L40" s="66" t="str">
        <f>IFERROR(VLOOKUP(L$9,#REF!,52,FALSE),"")</f>
        <v/>
      </c>
      <c r="M40" s="68" t="str">
        <f>IFERROR(VLOOKUP(M$9,#REF!,52,FALSE),"")</f>
        <v/>
      </c>
      <c r="N40" s="68" t="str">
        <f>IFERROR(VLOOKUP(N$9,#REF!,52,FALSE),"")</f>
        <v/>
      </c>
      <c r="O40" s="68" t="str">
        <f>IFERROR(VLOOKUP(O$9,#REF!,52,FALSE),"")</f>
        <v/>
      </c>
      <c r="P40" s="68" t="str">
        <f>IFERROR(VLOOKUP(P$9,#REF!,52,FALSE),"")</f>
        <v/>
      </c>
      <c r="Q40" s="68" t="str">
        <f>IFERROR(VLOOKUP(Q$9,#REF!,52,FALSE),"")</f>
        <v/>
      </c>
      <c r="R40" s="68" t="str">
        <f>IFERROR(VLOOKUP(R$9,#REF!,52,FALSE),"")</f>
        <v/>
      </c>
      <c r="S40" s="68" t="str">
        <f>IFERROR(VLOOKUP(S$9,#REF!,52,FALSE),"")</f>
        <v/>
      </c>
      <c r="T40" s="68" t="str">
        <f>IFERROR(VLOOKUP(T$9,#REF!,52,FALSE),"")</f>
        <v/>
      </c>
      <c r="U40" s="68" t="str">
        <f>IFERROR(VLOOKUP(U$9,#REF!,52,FALSE),"")</f>
        <v/>
      </c>
      <c r="V40" s="68" t="str">
        <f>IFERROR(VLOOKUP(V$9,#REF!,52,FALSE),"")</f>
        <v/>
      </c>
      <c r="W40" s="68" t="str">
        <f>IFERROR(VLOOKUP(ACH$9,#REF!,52,FALSE),"")</f>
        <v/>
      </c>
      <c r="X40" s="68" t="str">
        <f>IFERROR(VLOOKUP(X$9,#REF!,52,FALSE),"")</f>
        <v/>
      </c>
      <c r="Y40" s="68" t="str">
        <f>IFERROR(VLOOKUP(Y$9,#REF!,52,FALSE),"")</f>
        <v/>
      </c>
      <c r="Z40" s="68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71" t="e">
        <f>#REF!</f>
        <v>#REF!</v>
      </c>
      <c r="AD40" s="72"/>
    </row>
    <row r="41" spans="1:30" ht="11.1" customHeight="1">
      <c r="A41" s="87">
        <v>26</v>
      </c>
      <c r="B41" s="64" t="s">
        <v>22</v>
      </c>
      <c r="C41" s="90" t="s">
        <v>78</v>
      </c>
      <c r="D41" s="96" t="str">
        <f>IF(cnt_新時瀬!$AU$5=0,"",IF(演算タグ!D41&lt;0.001,"0.001未満",演算タグ!D41))</f>
        <v>0.001未満</v>
      </c>
      <c r="E41" s="96" t="str">
        <f>IF(cnt_小渡!$AU$5=0,"",IF(演算タグ!F41&lt;0.001,"0.001未満",演算タグ!F41))</f>
        <v>0.001未満</v>
      </c>
      <c r="F41" s="96" t="str">
        <f>IF(cnt_万町!$AU$5=0,"",IF(演算タグ!H41&lt;0.001,"0.001未満",演算タグ!H41))</f>
        <v>0.001未満</v>
      </c>
      <c r="G41" s="96" t="str">
        <f>IF(cnt_ぬくもり!$AU$5=0,"",IF(演算タグ!J41&lt;0.001,"0.001未満",演算タグ!J41))</f>
        <v>0.001未満</v>
      </c>
      <c r="H41" s="96" t="str">
        <f>IF(cnt_日下部!$AU$5=0,"",IF(演算タグ!L41&lt;0.001,"0.001未満",演算タグ!L41))</f>
        <v>0.001未満</v>
      </c>
      <c r="I41" s="96" t="str">
        <f>IF(cnt_旭高原!$AU$5=0,"",IF(演算タグ!N41&lt;0.001,"0.001未満",演算タグ!N41))</f>
        <v>0.001未満</v>
      </c>
      <c r="J41" s="95"/>
      <c r="K41" s="96"/>
      <c r="L41" s="66" t="str">
        <f>IFERROR(VLOOKUP(L$9,#REF!,62,FALSE),"")</f>
        <v/>
      </c>
      <c r="M41" s="68" t="str">
        <f>IFERROR(VLOOKUP(M$9,#REF!,62,FALSE),"")</f>
        <v/>
      </c>
      <c r="N41" s="68" t="str">
        <f>IFERROR(VLOOKUP(N$9,#REF!,62,FALSE),"")</f>
        <v/>
      </c>
      <c r="O41" s="68" t="str">
        <f>IFERROR(VLOOKUP(O$9,#REF!,62,FALSE),"")</f>
        <v/>
      </c>
      <c r="P41" s="68" t="str">
        <f>IFERROR(VLOOKUP(P$9,#REF!,62,FALSE),"")</f>
        <v/>
      </c>
      <c r="Q41" s="68" t="str">
        <f>IFERROR(VLOOKUP(Q$9,#REF!,62,FALSE),"")</f>
        <v/>
      </c>
      <c r="R41" s="68" t="str">
        <f>IFERROR(VLOOKUP(R$9,#REF!,62,FALSE),"")</f>
        <v/>
      </c>
      <c r="S41" s="68" t="str">
        <f>IFERROR(VLOOKUP(S$9,#REF!,62,FALSE),"")</f>
        <v/>
      </c>
      <c r="T41" s="68" t="str">
        <f>IFERROR(VLOOKUP(T$9,#REF!,62,FALSE),"")</f>
        <v/>
      </c>
      <c r="U41" s="68" t="str">
        <f>IFERROR(VLOOKUP(U$9,#REF!,62,FALSE),"")</f>
        <v/>
      </c>
      <c r="V41" s="68" t="str">
        <f>IFERROR(VLOOKUP(V$9,#REF!,62,FALSE),"")</f>
        <v/>
      </c>
      <c r="W41" s="68" t="str">
        <f>IFERROR(VLOOKUP(ACH$9,#REF!,62,FALSE),"")</f>
        <v/>
      </c>
      <c r="X41" s="68" t="str">
        <f>IFERROR(VLOOKUP(X$9,#REF!,62,FALSE),"")</f>
        <v/>
      </c>
      <c r="Y41" s="68" t="str">
        <f>IFERROR(VLOOKUP(Y$9,#REF!,62,FALSE),"")</f>
        <v/>
      </c>
      <c r="Z41" s="68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71" t="e">
        <f>#REF!</f>
        <v>#REF!</v>
      </c>
      <c r="AD41" s="72"/>
    </row>
    <row r="42" spans="1:30" ht="11.1" customHeight="1">
      <c r="A42" s="87">
        <v>27</v>
      </c>
      <c r="B42" s="64" t="s">
        <v>23</v>
      </c>
      <c r="C42" s="90" t="s">
        <v>78</v>
      </c>
      <c r="D42" s="96" t="str">
        <f>IF(cnt_新時瀬!$AL$5=0,"",IF(演算タグ!E42&lt;0.001,"0.001未満",演算タグ!E42))</f>
        <v/>
      </c>
      <c r="E42" s="96" t="str">
        <f>IF(cnt_小渡!$AL$5=0,"",IF(演算タグ!G42&lt;0.001,"0.001未満",演算タグ!G42))</f>
        <v/>
      </c>
      <c r="F42" s="96" t="str">
        <f>IF(cnt_万町!$AL$5=0,"",IF(演算タグ!I42&lt;0.001,"0.001未満",演算タグ!I42))</f>
        <v/>
      </c>
      <c r="G42" s="96" t="str">
        <f>IF(cnt_ぬくもり!$AL$5=0,"",IF(演算タグ!K42&lt;0.001,"0.001未満",演算タグ!K42))</f>
        <v/>
      </c>
      <c r="H42" s="96" t="str">
        <f>IF(cnt_日下部!$AL$5=0,"",IF(演算タグ!M42&lt;0.001,"0.001未満",演算タグ!M42))</f>
        <v/>
      </c>
      <c r="I42" s="96" t="str">
        <f>IF(cnt_旭高原!$AL$5=0,"",IF(演算タグ!O42&lt;0.001,"0.001未満",演算タグ!O42))</f>
        <v/>
      </c>
      <c r="J42" s="95"/>
      <c r="K42" s="96"/>
      <c r="L42" s="66" t="str">
        <f>IFERROR(VLOOKUP(L$9,#REF!,55,FALSE),"")</f>
        <v/>
      </c>
      <c r="M42" s="68" t="str">
        <f>IFERROR(VLOOKUP(M$9,#REF!,55,FALSE),"")</f>
        <v/>
      </c>
      <c r="N42" s="68" t="str">
        <f>IFERROR(VLOOKUP(N$9,#REF!,55,FALSE),"")</f>
        <v/>
      </c>
      <c r="O42" s="68" t="str">
        <f>IFERROR(VLOOKUP(O$9,#REF!,55,FALSE),"")</f>
        <v/>
      </c>
      <c r="P42" s="68" t="str">
        <f>IFERROR(VLOOKUP(P$9,#REF!,55,FALSE),"")</f>
        <v/>
      </c>
      <c r="Q42" s="68" t="str">
        <f>IFERROR(VLOOKUP(Q$9,#REF!,55,FALSE),"")</f>
        <v/>
      </c>
      <c r="R42" s="68" t="str">
        <f>IFERROR(VLOOKUP(R$9,#REF!,55,FALSE),"")</f>
        <v/>
      </c>
      <c r="S42" s="68" t="str">
        <f>IFERROR(VLOOKUP(S$9,#REF!,55,FALSE),"")</f>
        <v/>
      </c>
      <c r="T42" s="68" t="str">
        <f>IFERROR(VLOOKUP(T$9,#REF!,55,FALSE),"")</f>
        <v/>
      </c>
      <c r="U42" s="68" t="str">
        <f>IFERROR(VLOOKUP(U$9,#REF!,55,FALSE),"")</f>
        <v/>
      </c>
      <c r="V42" s="68" t="str">
        <f>IFERROR(VLOOKUP(V$9,#REF!,55,FALSE),"")</f>
        <v/>
      </c>
      <c r="W42" s="68" t="str">
        <f>IFERROR(VLOOKUP(ACH$9,#REF!,55,FALSE),"")</f>
        <v/>
      </c>
      <c r="X42" s="68" t="str">
        <f>IFERROR(VLOOKUP(X$9,#REF!,55,FALSE),"")</f>
        <v/>
      </c>
      <c r="Y42" s="68" t="str">
        <f>IFERROR(VLOOKUP(Y$9,#REF!,55,FALSE),"")</f>
        <v/>
      </c>
      <c r="Z42" s="68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71" t="e">
        <f>#REF!</f>
        <v>#REF!</v>
      </c>
      <c r="AD42" s="72"/>
    </row>
    <row r="43" spans="1:30" ht="11.1" customHeight="1">
      <c r="A43" s="87">
        <v>28</v>
      </c>
      <c r="B43" s="64" t="s">
        <v>24</v>
      </c>
      <c r="C43" s="90" t="s">
        <v>78</v>
      </c>
      <c r="D43" s="96" t="str">
        <f>IF(cnt_新時瀬!$AT$5=0,"",IF(演算タグ!D43&lt;0.002,"0.002未満",演算タグ!D43))</f>
        <v/>
      </c>
      <c r="E43" s="96" t="str">
        <f>IF(cnt_小渡!$AT$5=0,"",IF(演算タグ!F43&lt;0.002,"0.002未満",演算タグ!F43))</f>
        <v/>
      </c>
      <c r="F43" s="96" t="str">
        <f>IF(cnt_万町!$AT$5=0,"",IF(演算タグ!H43&lt;0.002,"0.002未満",演算タグ!H43))</f>
        <v/>
      </c>
      <c r="G43" s="96" t="str">
        <f>IF(cnt_ぬくもり!$AT$5=0,"",IF(演算タグ!J43&lt;0.002,"0.002未満",演算タグ!J43))</f>
        <v/>
      </c>
      <c r="H43" s="96" t="str">
        <f>IF(cnt_日下部!$AT$5=0,"",IF(演算タグ!L43&lt;0.002,"0.002未満",演算タグ!L43))</f>
        <v/>
      </c>
      <c r="I43" s="96" t="str">
        <f>IF(cnt_旭高原!$AT$5=0,"",IF(演算タグ!N43&lt;0.002,"0.002未満",演算タグ!N43))</f>
        <v/>
      </c>
      <c r="J43" s="95"/>
      <c r="K43" s="96"/>
      <c r="L43" s="66" t="str">
        <f>IFERROR(VLOOKUP(L$9,#REF!,59,FALSE),"")</f>
        <v/>
      </c>
      <c r="M43" s="68" t="str">
        <f>IFERROR(VLOOKUP(M$9,#REF!,59,FALSE),"")</f>
        <v/>
      </c>
      <c r="N43" s="68" t="str">
        <f>IFERROR(VLOOKUP(N$9,#REF!,59,FALSE),"")</f>
        <v/>
      </c>
      <c r="O43" s="68" t="str">
        <f>IFERROR(VLOOKUP(O$9,#REF!,59,FALSE),"")</f>
        <v/>
      </c>
      <c r="P43" s="68" t="str">
        <f>IFERROR(VLOOKUP(P$9,#REF!,59,FALSE),"")</f>
        <v/>
      </c>
      <c r="Q43" s="68" t="str">
        <f>IFERROR(VLOOKUP(Q$9,#REF!,59,FALSE),"")</f>
        <v/>
      </c>
      <c r="R43" s="68" t="str">
        <f>IFERROR(VLOOKUP(R$9,#REF!,59,FALSE),"")</f>
        <v/>
      </c>
      <c r="S43" s="68" t="str">
        <f>IFERROR(VLOOKUP(S$9,#REF!,59,FALSE),"")</f>
        <v/>
      </c>
      <c r="T43" s="68" t="str">
        <f>IFERROR(VLOOKUP(T$9,#REF!,59,FALSE),"")</f>
        <v/>
      </c>
      <c r="U43" s="68" t="str">
        <f>IFERROR(VLOOKUP(U$9,#REF!,59,FALSE),"")</f>
        <v/>
      </c>
      <c r="V43" s="68" t="str">
        <f>IFERROR(VLOOKUP(V$9,#REF!,59,FALSE),"")</f>
        <v/>
      </c>
      <c r="W43" s="68" t="str">
        <f>IFERROR(VLOOKUP(ACH$9,#REF!,59,FALSE),"")</f>
        <v/>
      </c>
      <c r="X43" s="68" t="str">
        <f>IFERROR(VLOOKUP(X$9,#REF!,59,FALSE),"")</f>
        <v/>
      </c>
      <c r="Y43" s="68" t="str">
        <f>IFERROR(VLOOKUP(Y$9,#REF!,59,FALSE),"")</f>
        <v/>
      </c>
      <c r="Z43" s="68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71" t="e">
        <f>#REF!</f>
        <v>#REF!</v>
      </c>
      <c r="AD43" s="72"/>
    </row>
    <row r="44" spans="1:30" ht="11.1" customHeight="1">
      <c r="A44" s="87">
        <v>29</v>
      </c>
      <c r="B44" s="64" t="s">
        <v>25</v>
      </c>
      <c r="C44" s="90" t="s">
        <v>78</v>
      </c>
      <c r="D44" s="96" t="str">
        <f>IF(cnt_新時瀬!$AJ$5=0,"",IF(演算タグ!E44&lt;0.001,"0.001未満",演算タグ!E44))</f>
        <v/>
      </c>
      <c r="E44" s="96" t="str">
        <f>IF(cnt_小渡!$AJ$5=0,"",IF(演算タグ!G44&lt;0.001,"0.001未満",演算タグ!G44))</f>
        <v/>
      </c>
      <c r="F44" s="96" t="str">
        <f>IF(cnt_万町!$AJ$5=0,"",IF(演算タグ!I44&lt;0.001,"0.001未満",演算タグ!I44))</f>
        <v/>
      </c>
      <c r="G44" s="96" t="str">
        <f>IF(cnt_ぬくもり!$AJ$5=0,"",IF(演算タグ!K44&lt;0.001,"0.001未満",演算タグ!K44))</f>
        <v/>
      </c>
      <c r="H44" s="96" t="str">
        <f>IF(cnt_日下部!$AJ$5=0,"",IF(演算タグ!M44&lt;0.001,"0.001未満",演算タグ!M44))</f>
        <v/>
      </c>
      <c r="I44" s="96" t="str">
        <f>IF(cnt_旭高原!$AJ$5=0,"",IF(演算タグ!O44&lt;0.001,"0.001未満",演算タグ!O44))</f>
        <v/>
      </c>
      <c r="J44" s="95"/>
      <c r="K44" s="96"/>
      <c r="L44" s="66" t="str">
        <f>IFERROR(VLOOKUP(L$9,#REF!,53,FALSE),"")</f>
        <v/>
      </c>
      <c r="M44" s="68" t="str">
        <f>IFERROR(VLOOKUP(M$9,#REF!,53,FALSE),"")</f>
        <v/>
      </c>
      <c r="N44" s="68" t="str">
        <f>IFERROR(VLOOKUP(N$9,#REF!,53,FALSE),"")</f>
        <v/>
      </c>
      <c r="O44" s="68" t="str">
        <f>IFERROR(VLOOKUP(O$9,#REF!,53,FALSE),"")</f>
        <v/>
      </c>
      <c r="P44" s="68" t="str">
        <f>IFERROR(VLOOKUP(P$9,#REF!,53,FALSE),"")</f>
        <v/>
      </c>
      <c r="Q44" s="68" t="str">
        <f>IFERROR(VLOOKUP(Q$9,#REF!,53,FALSE),"")</f>
        <v/>
      </c>
      <c r="R44" s="68" t="str">
        <f>IFERROR(VLOOKUP(R$9,#REF!,53,FALSE),"")</f>
        <v/>
      </c>
      <c r="S44" s="68" t="str">
        <f>IFERROR(VLOOKUP(S$9,#REF!,53,FALSE),"")</f>
        <v/>
      </c>
      <c r="T44" s="68" t="str">
        <f>IFERROR(VLOOKUP(T$9,#REF!,53,FALSE),"")</f>
        <v/>
      </c>
      <c r="U44" s="68" t="str">
        <f>IFERROR(VLOOKUP(U$9,#REF!,53,FALSE),"")</f>
        <v/>
      </c>
      <c r="V44" s="68" t="str">
        <f>IFERROR(VLOOKUP(V$9,#REF!,53,FALSE),"")</f>
        <v/>
      </c>
      <c r="W44" s="68" t="str">
        <f>IFERROR(VLOOKUP(ACH$9,#REF!,53,FALSE),"")</f>
        <v/>
      </c>
      <c r="X44" s="68" t="str">
        <f>IFERROR(VLOOKUP(X$9,#REF!,53,FALSE),"")</f>
        <v/>
      </c>
      <c r="Y44" s="68" t="str">
        <f>IFERROR(VLOOKUP(Y$9,#REF!,53,FALSE),"")</f>
        <v/>
      </c>
      <c r="Z44" s="68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71" t="e">
        <f>#REF!</f>
        <v>#REF!</v>
      </c>
      <c r="AD44" s="72"/>
    </row>
    <row r="45" spans="1:30" ht="11.1" customHeight="1">
      <c r="A45" s="87">
        <v>30</v>
      </c>
      <c r="B45" s="64" t="s">
        <v>26</v>
      </c>
      <c r="C45" s="90" t="s">
        <v>78</v>
      </c>
      <c r="D45" s="96" t="str">
        <f>IF(cnt_新時瀬!$AK$5=0,"",IF(演算タグ!E45&lt;0.001,"0.001未満",演算タグ!E45))</f>
        <v/>
      </c>
      <c r="E45" s="96" t="str">
        <f>IF(cnt_小渡!$AK$5=0,"",IF(演算タグ!G45&lt;0.001,"0.001未満",演算タグ!G45))</f>
        <v/>
      </c>
      <c r="F45" s="96" t="str">
        <f>IF(cnt_万町!$AK$5=0,"",IF(演算タグ!I45&lt;0.001,"0.001未満",演算タグ!I45))</f>
        <v/>
      </c>
      <c r="G45" s="96" t="str">
        <f>IF(cnt_ぬくもり!$AK$5=0,"",IF(演算タグ!K45&lt;0.001,"0.001未満",演算タグ!K45))</f>
        <v/>
      </c>
      <c r="H45" s="96" t="str">
        <f>IF(cnt_日下部!$AK$5=0,"",IF(演算タグ!M45&lt;0.001,"0.001未満",演算タグ!M45))</f>
        <v/>
      </c>
      <c r="I45" s="96" t="str">
        <f>IF(cnt_旭高原!$AK$5=0,"",IF(演算タグ!O45&lt;0.001,"0.001未満",演算タグ!O45))</f>
        <v/>
      </c>
      <c r="J45" s="95"/>
      <c r="K45" s="96"/>
      <c r="L45" s="66" t="str">
        <f>IFERROR(VLOOKUP(L$9,#REF!,54,FALSE),"")</f>
        <v/>
      </c>
      <c r="M45" s="68" t="str">
        <f>IFERROR(VLOOKUP(M$9,#REF!,54,FALSE),"")</f>
        <v/>
      </c>
      <c r="N45" s="68" t="str">
        <f>IFERROR(VLOOKUP(N$9,#REF!,54,FALSE),"")</f>
        <v/>
      </c>
      <c r="O45" s="68" t="str">
        <f>IFERROR(VLOOKUP(O$9,#REF!,54,FALSE),"")</f>
        <v/>
      </c>
      <c r="P45" s="68" t="str">
        <f>IFERROR(VLOOKUP(P$9,#REF!,54,FALSE),"")</f>
        <v/>
      </c>
      <c r="Q45" s="68" t="str">
        <f>IFERROR(VLOOKUP(Q$9,#REF!,54,FALSE),"")</f>
        <v/>
      </c>
      <c r="R45" s="68" t="str">
        <f>IFERROR(VLOOKUP(R$9,#REF!,54,FALSE),"")</f>
        <v/>
      </c>
      <c r="S45" s="68" t="str">
        <f>IFERROR(VLOOKUP(S$9,#REF!,54,FALSE),"")</f>
        <v/>
      </c>
      <c r="T45" s="68" t="str">
        <f>IFERROR(VLOOKUP(T$9,#REF!,54,FALSE),"")</f>
        <v/>
      </c>
      <c r="U45" s="68" t="str">
        <f>IFERROR(VLOOKUP(U$9,#REF!,54,FALSE),"")</f>
        <v/>
      </c>
      <c r="V45" s="68" t="str">
        <f>IFERROR(VLOOKUP(V$9,#REF!,54,FALSE),"")</f>
        <v/>
      </c>
      <c r="W45" s="68" t="str">
        <f>IFERROR(VLOOKUP(ACH$9,#REF!,54,FALSE),"")</f>
        <v/>
      </c>
      <c r="X45" s="68" t="str">
        <f>IFERROR(VLOOKUP(X$9,#REF!,54,FALSE),"")</f>
        <v/>
      </c>
      <c r="Y45" s="68" t="str">
        <f>IFERROR(VLOOKUP(Y$9,#REF!,54,FALSE),"")</f>
        <v/>
      </c>
      <c r="Z45" s="68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71" t="e">
        <f>#REF!</f>
        <v>#REF!</v>
      </c>
      <c r="AD45" s="72"/>
    </row>
    <row r="46" spans="1:30" ht="11.1" customHeight="1">
      <c r="A46" s="87">
        <v>31</v>
      </c>
      <c r="B46" s="64" t="s">
        <v>27</v>
      </c>
      <c r="C46" s="90" t="s">
        <v>78</v>
      </c>
      <c r="D46" s="96" t="str">
        <f>IF(cnt_新時瀬!$AV$5=0,"",IF(演算タグ!D46&lt;0.008,"0.008未満",演算タグ!D46))</f>
        <v/>
      </c>
      <c r="E46" s="96" t="str">
        <f>IF(cnt_小渡!$AV$5=0,"",IF(演算タグ!F46&lt;0.008,"0.008未満",演算タグ!F46))</f>
        <v/>
      </c>
      <c r="F46" s="96" t="str">
        <f>IF(cnt_万町!$AV$5=0,"",IF(演算タグ!H46&lt;0.008,"0.008未満",演算タグ!H46))</f>
        <v/>
      </c>
      <c r="G46" s="96" t="str">
        <f>IF(cnt_ぬくもり!$AV$5=0,"",IF(演算タグ!J46&lt;0.008,"0.008未満",演算タグ!J46))</f>
        <v/>
      </c>
      <c r="H46" s="96" t="str">
        <f>IF(cnt_日下部!$AV$5=0,"",IF(演算タグ!L46&lt;0.008,"0.008未満",演算タグ!L46))</f>
        <v/>
      </c>
      <c r="I46" s="96" t="str">
        <f>IF(cnt_旭高原!$AV$5=0,"",IF(演算タグ!N46&lt;0.008,"0.008未満",演算タグ!N46))</f>
        <v/>
      </c>
      <c r="J46" s="95"/>
      <c r="K46" s="96"/>
      <c r="L46" s="66" t="str">
        <f>IFERROR(VLOOKUP(L$9,#REF!,65,FALSE),"")</f>
        <v/>
      </c>
      <c r="M46" s="68" t="str">
        <f>IFERROR(VLOOKUP(M$9,#REF!,65,FALSE),"")</f>
        <v/>
      </c>
      <c r="N46" s="68" t="str">
        <f>IFERROR(VLOOKUP(N$9,#REF!,65,FALSE),"")</f>
        <v/>
      </c>
      <c r="O46" s="68" t="str">
        <f>IFERROR(VLOOKUP(O$9,#REF!,65,FALSE),"")</f>
        <v/>
      </c>
      <c r="P46" s="68" t="str">
        <f>IFERROR(VLOOKUP(P$9,#REF!,65,FALSE),"")</f>
        <v/>
      </c>
      <c r="Q46" s="68" t="str">
        <f>IFERROR(VLOOKUP(Q$9,#REF!,65,FALSE),"")</f>
        <v/>
      </c>
      <c r="R46" s="68" t="str">
        <f>IFERROR(VLOOKUP(R$9,#REF!,65,FALSE),"")</f>
        <v/>
      </c>
      <c r="S46" s="68" t="str">
        <f>IFERROR(VLOOKUP(S$9,#REF!,65,FALSE),"")</f>
        <v/>
      </c>
      <c r="T46" s="68" t="str">
        <f>IFERROR(VLOOKUP(T$9,#REF!,65,FALSE),"")</f>
        <v/>
      </c>
      <c r="U46" s="68" t="str">
        <f>IFERROR(VLOOKUP(U$9,#REF!,65,FALSE),"")</f>
        <v/>
      </c>
      <c r="V46" s="68" t="str">
        <f>IFERROR(VLOOKUP(V$9,#REF!,65,FALSE),"")</f>
        <v/>
      </c>
      <c r="W46" s="68" t="str">
        <f>IFERROR(VLOOKUP(ACH$9,#REF!,65,FALSE),"")</f>
        <v/>
      </c>
      <c r="X46" s="68" t="str">
        <f>IFERROR(VLOOKUP(X$9,#REF!,65,FALSE),"")</f>
        <v/>
      </c>
      <c r="Y46" s="68" t="str">
        <f>IFERROR(VLOOKUP(Y$9,#REF!,65,FALSE),"")</f>
        <v/>
      </c>
      <c r="Z46" s="68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71" t="e">
        <f>#REF!</f>
        <v>#REF!</v>
      </c>
      <c r="AD46" s="72"/>
    </row>
    <row r="47" spans="1:30" ht="11.1" customHeight="1">
      <c r="A47" s="87">
        <v>32</v>
      </c>
      <c r="B47" s="64" t="s">
        <v>28</v>
      </c>
      <c r="C47" s="90" t="s">
        <v>78</v>
      </c>
      <c r="D47" s="96" t="str">
        <f>IF(cnt_新時瀬!$J$5=0,"",IF(演算タグ!E47&lt;0.002,"0.002未満",演算タグ!E47))</f>
        <v/>
      </c>
      <c r="E47" s="96" t="str">
        <f>IF(cnt_小渡!$J$5=0,"",IF(演算タグ!G47&lt;0.002,"0.002未満",演算タグ!G47))</f>
        <v/>
      </c>
      <c r="F47" s="96" t="str">
        <f>IF(cnt_万町!$J$5=0,"",IF(演算タグ!I47&lt;0.002,"0.002未満",演算タグ!I47))</f>
        <v/>
      </c>
      <c r="G47" s="96" t="str">
        <f>IF(cnt_ぬくもり!$J$5=0,"",IF(演算タグ!K47&lt;0.002,"0.002未満",演算タグ!K47))</f>
        <v/>
      </c>
      <c r="H47" s="96" t="str">
        <f>IF(cnt_日下部!$J$5=0,"",IF(演算タグ!M47&lt;0.002,"0.002未満",演算タグ!M47))</f>
        <v/>
      </c>
      <c r="I47" s="96" t="str">
        <f>IF(cnt_旭高原!$J$5=0,"",IF(演算タグ!O47&lt;0.002,"0.002未満",演算タグ!O47))</f>
        <v/>
      </c>
      <c r="J47" s="95"/>
      <c r="K47" s="96"/>
      <c r="L47" s="66" t="str">
        <f>IFERROR(VLOOKUP(L$9,#REF!,18,FALSE),"")</f>
        <v/>
      </c>
      <c r="M47" s="68" t="str">
        <f>IFERROR(VLOOKUP(M$9,#REF!,18,FALSE),"")</f>
        <v/>
      </c>
      <c r="N47" s="68" t="str">
        <f>IFERROR(VLOOKUP(N$9,#REF!,18,FALSE),"")</f>
        <v/>
      </c>
      <c r="O47" s="68" t="str">
        <f>IFERROR(VLOOKUP(O$9,#REF!,18,FALSE),"")</f>
        <v/>
      </c>
      <c r="P47" s="68" t="str">
        <f>IFERROR(VLOOKUP(P$9,#REF!,18,FALSE),"")</f>
        <v/>
      </c>
      <c r="Q47" s="68" t="str">
        <f>IFERROR(VLOOKUP(Q$9,#REF!,18,FALSE),"")</f>
        <v/>
      </c>
      <c r="R47" s="68" t="str">
        <f>IFERROR(VLOOKUP(R$9,#REF!,18,FALSE),"")</f>
        <v/>
      </c>
      <c r="S47" s="68" t="str">
        <f>IFERROR(VLOOKUP(S$9,#REF!,18,FALSE),"")</f>
        <v/>
      </c>
      <c r="T47" s="68" t="str">
        <f>IFERROR(VLOOKUP(T$9,#REF!,18,FALSE),"")</f>
        <v/>
      </c>
      <c r="U47" s="68" t="str">
        <f>IFERROR(VLOOKUP(U$9,#REF!,18,FALSE),"")</f>
        <v/>
      </c>
      <c r="V47" s="68" t="str">
        <f>IFERROR(VLOOKUP(V$9,#REF!,18,FALSE),"")</f>
        <v/>
      </c>
      <c r="W47" s="68" t="str">
        <f>IFERROR(VLOOKUP(ACH$9,#REF!,18,FALSE),"")</f>
        <v/>
      </c>
      <c r="X47" s="68" t="str">
        <f>IFERROR(VLOOKUP(X$9,#REF!,18,FALSE),"")</f>
        <v/>
      </c>
      <c r="Y47" s="68" t="str">
        <f>IFERROR(VLOOKUP(Y$9,#REF!,18,FALSE),"")</f>
        <v/>
      </c>
      <c r="Z47" s="68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71" t="e">
        <f>#REF!</f>
        <v>#REF!</v>
      </c>
      <c r="AD47" s="72"/>
    </row>
    <row r="48" spans="1:30" ht="11.1" customHeight="1">
      <c r="A48" s="87">
        <v>33</v>
      </c>
      <c r="B48" s="64" t="s">
        <v>29</v>
      </c>
      <c r="C48" s="90" t="s">
        <v>78</v>
      </c>
      <c r="D48" s="98" t="str">
        <f>IF(cnt_新時瀬!$K$5=0,"",IF(演算タグ!E48&lt;0.01,"0.01未満",演算タグ!E48))</f>
        <v/>
      </c>
      <c r="E48" s="98" t="str">
        <f>IF(cnt_小渡!$K$5=0,"",IF(演算タグ!G48&lt;0.01,"0.01未満",演算タグ!G48))</f>
        <v/>
      </c>
      <c r="F48" s="98" t="str">
        <f>IF(cnt_万町!$K$5=0,"",IF(演算タグ!I48&lt;0.01,"0.01未満",演算タグ!I48))</f>
        <v/>
      </c>
      <c r="G48" s="98" t="str">
        <f>IF(cnt_ぬくもり!$K$5=0,"",IF(演算タグ!K48&lt;0.01,"0.01未満",演算タグ!K48))</f>
        <v/>
      </c>
      <c r="H48" s="98" t="str">
        <f>IF(cnt_日下部!$K$5=0,"",IF(演算タグ!M48&lt;0.01,"0.01未満",演算タグ!M48))</f>
        <v/>
      </c>
      <c r="I48" s="98" t="str">
        <f>IF(cnt_旭高原!$K$5=0,"",IF(演算タグ!O48&lt;0.01,"0.01未満",演算タグ!O48))</f>
        <v/>
      </c>
      <c r="J48" s="97"/>
      <c r="K48" s="98"/>
      <c r="L48" s="66" t="str">
        <f>IFERROR(VLOOKUP(L$9,#REF!,19,FALSE),"")</f>
        <v/>
      </c>
      <c r="M48" s="68" t="str">
        <f>IFERROR(VLOOKUP(M$9,#REF!,19,FALSE),"")</f>
        <v/>
      </c>
      <c r="N48" s="68" t="str">
        <f>IFERROR(VLOOKUP(N$9,#REF!,19,FALSE),"")</f>
        <v/>
      </c>
      <c r="O48" s="68" t="str">
        <f>IFERROR(VLOOKUP(O$9,#REF!,19,FALSE),"")</f>
        <v/>
      </c>
      <c r="P48" s="68" t="str">
        <f>IFERROR(VLOOKUP(P$9,#REF!,19,FALSE),"")</f>
        <v/>
      </c>
      <c r="Q48" s="68" t="str">
        <f>IFERROR(VLOOKUP(Q$9,#REF!,19,FALSE),"")</f>
        <v/>
      </c>
      <c r="R48" s="68" t="str">
        <f>IFERROR(VLOOKUP(R$9,#REF!,19,FALSE),"")</f>
        <v/>
      </c>
      <c r="S48" s="68" t="str">
        <f>IFERROR(VLOOKUP(S$9,#REF!,19,FALSE),"")</f>
        <v/>
      </c>
      <c r="T48" s="68" t="str">
        <f>IFERROR(VLOOKUP(T$9,#REF!,19,FALSE),"")</f>
        <v/>
      </c>
      <c r="U48" s="68" t="str">
        <f>IFERROR(VLOOKUP(U$9,#REF!,19,FALSE),"")</f>
        <v/>
      </c>
      <c r="V48" s="68" t="str">
        <f>IFERROR(VLOOKUP(V$9,#REF!,19,FALSE),"")</f>
        <v/>
      </c>
      <c r="W48" s="68" t="str">
        <f>IFERROR(VLOOKUP(ACH$9,#REF!,19,FALSE),"")</f>
        <v/>
      </c>
      <c r="X48" s="68" t="str">
        <f>IFERROR(VLOOKUP(X$9,#REF!,19,FALSE),"")</f>
        <v/>
      </c>
      <c r="Y48" s="68" t="str">
        <f>IFERROR(VLOOKUP(Y$9,#REF!,19,FALSE),"")</f>
        <v/>
      </c>
      <c r="Z48" s="68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71" t="e">
        <f>#REF!</f>
        <v>#REF!</v>
      </c>
      <c r="AD48" s="72"/>
    </row>
    <row r="49" spans="1:30" ht="11.1" customHeight="1">
      <c r="A49" s="87">
        <v>34</v>
      </c>
      <c r="B49" s="64" t="s">
        <v>30</v>
      </c>
      <c r="C49" s="90" t="s">
        <v>78</v>
      </c>
      <c r="D49" s="98" t="str">
        <f>IF(cnt_新時瀬!$L$5=0,"",IF(演算タグ!E49&lt;0.03,"0.03未満",演算タグ!E49))</f>
        <v/>
      </c>
      <c r="E49" s="98" t="str">
        <f>IF(cnt_小渡!$L$5=0,"",IF(演算タグ!G49&lt;0.03,"0.03未満",演算タグ!G49))</f>
        <v/>
      </c>
      <c r="F49" s="98" t="str">
        <f>IF(cnt_万町!$L$5=0,"",IF(演算タグ!I49&lt;0.03,"0.03未満",演算タグ!I49))</f>
        <v/>
      </c>
      <c r="G49" s="98" t="str">
        <f>IF(cnt_ぬくもり!$L$5=0,"",IF(演算タグ!K49&lt;0.03,"0.03未満",演算タグ!K49))</f>
        <v/>
      </c>
      <c r="H49" s="98" t="str">
        <f>IF(cnt_日下部!$L$5=0,"",IF(演算タグ!M49&lt;0.03,"0.03未満",演算タグ!M49))</f>
        <v/>
      </c>
      <c r="I49" s="98" t="str">
        <f>IF(cnt_旭高原!$L$5=0,"",IF(演算タグ!O49&lt;0.03,"0.03未満",演算タグ!O49))</f>
        <v/>
      </c>
      <c r="J49" s="97"/>
      <c r="K49" s="98"/>
      <c r="L49" s="66" t="str">
        <f>IFERROR(VLOOKUP(L$9,#REF!,20,FALSE),"")</f>
        <v/>
      </c>
      <c r="M49" s="68" t="str">
        <f>IFERROR(VLOOKUP(M$9,#REF!,20,FALSE),"")</f>
        <v/>
      </c>
      <c r="N49" s="68" t="str">
        <f>IFERROR(VLOOKUP(N$9,#REF!,20,FALSE),"")</f>
        <v/>
      </c>
      <c r="O49" s="68" t="str">
        <f>IFERROR(VLOOKUP(O$9,#REF!,20,FALSE),"")</f>
        <v/>
      </c>
      <c r="P49" s="68" t="str">
        <f>IFERROR(VLOOKUP(P$9,#REF!,20,FALSE),"")</f>
        <v/>
      </c>
      <c r="Q49" s="68" t="str">
        <f>IFERROR(VLOOKUP(Q$9,#REF!,20,FALSE),"")</f>
        <v/>
      </c>
      <c r="R49" s="68" t="str">
        <f>IFERROR(VLOOKUP(R$9,#REF!,20,FALSE),"")</f>
        <v/>
      </c>
      <c r="S49" s="68" t="str">
        <f>IFERROR(VLOOKUP(S$9,#REF!,20,FALSE),"")</f>
        <v/>
      </c>
      <c r="T49" s="68" t="str">
        <f>IFERROR(VLOOKUP(T$9,#REF!,20,FALSE),"")</f>
        <v/>
      </c>
      <c r="U49" s="68" t="str">
        <f>IFERROR(VLOOKUP(U$9,#REF!,20,FALSE),"")</f>
        <v/>
      </c>
      <c r="V49" s="68" t="str">
        <f>IFERROR(VLOOKUP(V$9,#REF!,20,FALSE),"")</f>
        <v/>
      </c>
      <c r="W49" s="68" t="str">
        <f>IFERROR(VLOOKUP(ACH$9,#REF!,20,FALSE),"")</f>
        <v/>
      </c>
      <c r="X49" s="68" t="str">
        <f>IFERROR(VLOOKUP(X$9,#REF!,20,FALSE),"")</f>
        <v/>
      </c>
      <c r="Y49" s="68" t="str">
        <f>IFERROR(VLOOKUP(Y$9,#REF!,20,FALSE),"")</f>
        <v/>
      </c>
      <c r="Z49" s="68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71" t="e">
        <f>#REF!</f>
        <v>#REF!</v>
      </c>
      <c r="AD49" s="72"/>
    </row>
    <row r="50" spans="1:30" ht="11.1" customHeight="1">
      <c r="A50" s="87">
        <v>35</v>
      </c>
      <c r="B50" s="64" t="s">
        <v>31</v>
      </c>
      <c r="C50" s="90" t="s">
        <v>78</v>
      </c>
      <c r="D50" s="96" t="str">
        <f>IF(cnt_新時瀬!$M$5=0,"",IF(演算タグ!E50&lt;0.002,"0.002未満",演算タグ!E50))</f>
        <v/>
      </c>
      <c r="E50" s="96" t="str">
        <f>IF(cnt_小渡!$M$5=0,"",IF(演算タグ!G50&lt;0.002,"0.002未満",演算タグ!G50))</f>
        <v/>
      </c>
      <c r="F50" s="96" t="str">
        <f>IF(cnt_万町!$M$5=0,"",IF(演算タグ!I50&lt;0.002,"0.002未満",演算タグ!I50))</f>
        <v/>
      </c>
      <c r="G50" s="96" t="str">
        <f>IF(cnt_ぬくもり!$M$5=0,"",IF(演算タグ!K50&lt;0.002,"0.002未満",演算タグ!K50))</f>
        <v/>
      </c>
      <c r="H50" s="96" t="str">
        <f>IF(cnt_日下部!$M$5=0,"",IF(演算タグ!M50&lt;0.002,"0.002未満",演算タグ!M50))</f>
        <v/>
      </c>
      <c r="I50" s="96" t="str">
        <f>IF(cnt_旭高原!$M$5=0,"",IF(演算タグ!O50&lt;0.002,"0.002未満",演算タグ!O50))</f>
        <v/>
      </c>
      <c r="J50" s="95"/>
      <c r="K50" s="96"/>
      <c r="L50" s="66" t="str">
        <f>IFERROR(VLOOKUP(L$9,#REF!,21,FALSE),"")</f>
        <v/>
      </c>
      <c r="M50" s="68" t="str">
        <f>IFERROR(VLOOKUP(M$9,#REF!,21,FALSE),"")</f>
        <v/>
      </c>
      <c r="N50" s="68" t="str">
        <f>IFERROR(VLOOKUP(N$9,#REF!,21,FALSE),"")</f>
        <v/>
      </c>
      <c r="O50" s="68" t="str">
        <f>IFERROR(VLOOKUP(O$9,#REF!,21,FALSE),"")</f>
        <v/>
      </c>
      <c r="P50" s="68" t="str">
        <f>IFERROR(VLOOKUP(P$9,#REF!,21,FALSE),"")</f>
        <v/>
      </c>
      <c r="Q50" s="68" t="str">
        <f>IFERROR(VLOOKUP(Q$9,#REF!,21,FALSE),"")</f>
        <v/>
      </c>
      <c r="R50" s="68" t="str">
        <f>IFERROR(VLOOKUP(R$9,#REF!,21,FALSE),"")</f>
        <v/>
      </c>
      <c r="S50" s="68" t="str">
        <f>IFERROR(VLOOKUP(S$9,#REF!,21,FALSE),"")</f>
        <v/>
      </c>
      <c r="T50" s="68" t="str">
        <f>IFERROR(VLOOKUP(T$9,#REF!,21,FALSE),"")</f>
        <v/>
      </c>
      <c r="U50" s="68" t="str">
        <f>IFERROR(VLOOKUP(U$9,#REF!,21,FALSE),"")</f>
        <v/>
      </c>
      <c r="V50" s="68" t="str">
        <f>IFERROR(VLOOKUP(V$9,#REF!,21,FALSE),"")</f>
        <v/>
      </c>
      <c r="W50" s="68" t="str">
        <f>IFERROR(VLOOKUP(ACH$9,#REF!,21,FALSE),"")</f>
        <v/>
      </c>
      <c r="X50" s="68" t="str">
        <f>IFERROR(VLOOKUP(X$9,#REF!,21,FALSE),"")</f>
        <v/>
      </c>
      <c r="Y50" s="68" t="str">
        <f>IFERROR(VLOOKUP(Y$9,#REF!,21,FALSE),"")</f>
        <v/>
      </c>
      <c r="Z50" s="68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71" t="e">
        <f>#REF!</f>
        <v>#REF!</v>
      </c>
      <c r="AD50" s="72"/>
    </row>
    <row r="51" spans="1:30" ht="11.1" customHeight="1">
      <c r="A51" s="87">
        <v>36</v>
      </c>
      <c r="B51" s="64" t="s">
        <v>32</v>
      </c>
      <c r="C51" s="90" t="s">
        <v>78</v>
      </c>
      <c r="D51" s="70" t="str">
        <f>IF(cnt_新時瀬!$Y$5=0,"",演算タグ!D51)</f>
        <v/>
      </c>
      <c r="E51" s="70" t="str">
        <f>IF(cnt_小渡!$Y$5=0,"",演算タグ!F51)</f>
        <v/>
      </c>
      <c r="F51" s="70" t="str">
        <f>IF(cnt_万町!$Y$5=0,"",演算タグ!H51)</f>
        <v/>
      </c>
      <c r="G51" s="70" t="str">
        <f>IF(cnt_ぬくもり!$Y$5=0,"",演算タグ!J51)</f>
        <v/>
      </c>
      <c r="H51" s="70" t="str">
        <f>IF(cnt_日下部!$Y$5=0,"",演算タグ!L51)</f>
        <v/>
      </c>
      <c r="I51" s="70" t="str">
        <f>IF(cnt_旭高原!$Y$5=0,"",演算タグ!N51)</f>
        <v/>
      </c>
      <c r="J51" s="69"/>
      <c r="K51" s="70"/>
      <c r="L51" s="66" t="str">
        <f>IFERROR(VLOOKUP(L$9,#REF!,37,FALSE),"")</f>
        <v/>
      </c>
      <c r="M51" s="68" t="str">
        <f>IFERROR(VLOOKUP(M$9,#REF!,37,FALSE),"")</f>
        <v/>
      </c>
      <c r="N51" s="68" t="str">
        <f>IFERROR(VLOOKUP(N$9,#REF!,37,FALSE),"")</f>
        <v/>
      </c>
      <c r="O51" s="68" t="str">
        <f>IFERROR(VLOOKUP(O$9,#REF!,37,FALSE),"")</f>
        <v/>
      </c>
      <c r="P51" s="68" t="str">
        <f>IFERROR(VLOOKUP(P$9,#REF!,37,FALSE),"")</f>
        <v/>
      </c>
      <c r="Q51" s="68" t="str">
        <f>IFERROR(VLOOKUP(Q$9,#REF!,37,FALSE),"")</f>
        <v/>
      </c>
      <c r="R51" s="68" t="str">
        <f>IFERROR(VLOOKUP(R$9,#REF!,37,FALSE),"")</f>
        <v/>
      </c>
      <c r="S51" s="68" t="str">
        <f>IFERROR(VLOOKUP(S$9,#REF!,37,FALSE),"")</f>
        <v/>
      </c>
      <c r="T51" s="68" t="str">
        <f>IFERROR(VLOOKUP(T$9,#REF!,37,FALSE),"")</f>
        <v/>
      </c>
      <c r="U51" s="68" t="str">
        <f>IFERROR(VLOOKUP(U$9,#REF!,37,FALSE),"")</f>
        <v/>
      </c>
      <c r="V51" s="68" t="str">
        <f>IFERROR(VLOOKUP(V$9,#REF!,37,FALSE),"")</f>
        <v/>
      </c>
      <c r="W51" s="68" t="str">
        <f>IFERROR(VLOOKUP(ACH$9,#REF!,37,FALSE),"")</f>
        <v/>
      </c>
      <c r="X51" s="68" t="str">
        <f>IFERROR(VLOOKUP(X$9,#REF!,37,FALSE),"")</f>
        <v/>
      </c>
      <c r="Y51" s="68" t="str">
        <f>IFERROR(VLOOKUP(Y$9,#REF!,37,FALSE),"")</f>
        <v/>
      </c>
      <c r="Z51" s="68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71" t="e">
        <f>#REF!</f>
        <v>#REF!</v>
      </c>
      <c r="AD51" s="72"/>
    </row>
    <row r="52" spans="1:30" ht="11.1" customHeight="1">
      <c r="A52" s="87">
        <v>37</v>
      </c>
      <c r="B52" s="64" t="s">
        <v>34</v>
      </c>
      <c r="C52" s="90" t="s">
        <v>78</v>
      </c>
      <c r="D52" s="96" t="str">
        <f>IF(cnt_新時瀬!$N$5=0,"",IF(演算タグ!E52&lt;0.001,"0.001未満",演算タグ!E52))</f>
        <v/>
      </c>
      <c r="E52" s="96" t="str">
        <f>IF(cnt_小渡!$N$5=0,"",IF(演算タグ!G52&lt;0.001,"0.001未満",演算タグ!G52))</f>
        <v/>
      </c>
      <c r="F52" s="96" t="str">
        <f>IF(cnt_万町!$N$5=0,"",IF(演算タグ!I52&lt;0.001,"0.001未満",演算タグ!I52))</f>
        <v/>
      </c>
      <c r="G52" s="96" t="str">
        <f>IF(cnt_ぬくもり!$N$5=0,"",IF(演算タグ!K52&lt;0.001,"0.001未満",演算タグ!K52))</f>
        <v/>
      </c>
      <c r="H52" s="96" t="str">
        <f>IF(cnt_日下部!$N$5=0,"",IF(演算タグ!M52&lt;0.001,"0.001未満",演算タグ!M52))</f>
        <v/>
      </c>
      <c r="I52" s="96" t="str">
        <f>IF(cnt_旭高原!$N$5=0,"",IF(演算タグ!O52&lt;0.001,"0.001未満",演算タグ!O52))</f>
        <v/>
      </c>
      <c r="J52" s="95"/>
      <c r="K52" s="96"/>
      <c r="L52" s="66" t="str">
        <f>IFERROR(VLOOKUP(L$9,#REF!,22,FALSE),"")</f>
        <v/>
      </c>
      <c r="M52" s="68" t="str">
        <f>IFERROR(VLOOKUP(M$9,#REF!,22,FALSE),"")</f>
        <v/>
      </c>
      <c r="N52" s="68" t="str">
        <f>IFERROR(VLOOKUP(N$9,#REF!,22,FALSE),"")</f>
        <v/>
      </c>
      <c r="O52" s="68" t="str">
        <f>IFERROR(VLOOKUP(O$9,#REF!,22,FALSE),"")</f>
        <v/>
      </c>
      <c r="P52" s="68" t="str">
        <f>IFERROR(VLOOKUP(P$9,#REF!,22,FALSE),"")</f>
        <v/>
      </c>
      <c r="Q52" s="68" t="str">
        <f>IFERROR(VLOOKUP(Q$9,#REF!,22,FALSE),"")</f>
        <v/>
      </c>
      <c r="R52" s="68" t="str">
        <f>IFERROR(VLOOKUP(R$9,#REF!,22,FALSE),"")</f>
        <v/>
      </c>
      <c r="S52" s="68" t="str">
        <f>IFERROR(VLOOKUP(S$9,#REF!,22,FALSE),"")</f>
        <v/>
      </c>
      <c r="T52" s="68" t="str">
        <f>IFERROR(VLOOKUP(T$9,#REF!,22,FALSE),"")</f>
        <v/>
      </c>
      <c r="U52" s="68" t="str">
        <f>IFERROR(VLOOKUP(U$9,#REF!,22,FALSE),"")</f>
        <v/>
      </c>
      <c r="V52" s="68" t="str">
        <f>IFERROR(VLOOKUP(V$9,#REF!,22,FALSE),"")</f>
        <v/>
      </c>
      <c r="W52" s="68" t="str">
        <f>IFERROR(VLOOKUP(ACH$9,#REF!,22,FALSE),"")</f>
        <v/>
      </c>
      <c r="X52" s="68" t="str">
        <f>IFERROR(VLOOKUP(X$9,#REF!,22,FALSE),"")</f>
        <v/>
      </c>
      <c r="Y52" s="68" t="str">
        <f>IFERROR(VLOOKUP(Y$9,#REF!,22,FALSE),"")</f>
        <v/>
      </c>
      <c r="Z52" s="68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71" t="e">
        <f>#REF!</f>
        <v>#REF!</v>
      </c>
      <c r="AD52" s="72"/>
    </row>
    <row r="53" spans="1:30" ht="11.1" customHeight="1">
      <c r="A53" s="87">
        <v>38</v>
      </c>
      <c r="B53" s="64" t="s">
        <v>35</v>
      </c>
      <c r="C53" s="90" t="s">
        <v>78</v>
      </c>
      <c r="D53" s="70">
        <f>IF(cnt_新時瀬!$U$5=0,"",演算タグ!D53)</f>
        <v>3.7</v>
      </c>
      <c r="E53" s="70">
        <f>IF(cnt_小渡!$U$5=0,"",演算タグ!F53)</f>
        <v>3.8</v>
      </c>
      <c r="F53" s="70">
        <f>IF(cnt_万町!$U$5=0,"",演算タグ!H53)</f>
        <v>5.0999999999999996</v>
      </c>
      <c r="G53" s="70">
        <f>IF(cnt_ぬくもり!$U$5=0,"",演算タグ!J53)</f>
        <v>5.3</v>
      </c>
      <c r="H53" s="70">
        <f>IF(cnt_日下部!$U$5=0,"",演算タグ!L53)</f>
        <v>2.1</v>
      </c>
      <c r="I53" s="70">
        <f>IF(cnt_旭高原!$U$5=0,"",演算タグ!N53)</f>
        <v>2.5</v>
      </c>
      <c r="J53" s="69"/>
      <c r="K53" s="70"/>
      <c r="L53" s="66" t="str">
        <f>IFERROR(VLOOKUP(L$9,#REF!,32,FALSE),"")</f>
        <v/>
      </c>
      <c r="M53" s="68" t="str">
        <f>IFERROR(VLOOKUP(M$9,#REF!,32,FALSE),"")</f>
        <v/>
      </c>
      <c r="N53" s="68" t="str">
        <f>IFERROR(VLOOKUP(N$9,#REF!,32,FALSE),"")</f>
        <v/>
      </c>
      <c r="O53" s="68" t="str">
        <f>IFERROR(VLOOKUP(O$9,#REF!,32,FALSE),"")</f>
        <v/>
      </c>
      <c r="P53" s="68" t="str">
        <f>IFERROR(VLOOKUP(P$9,#REF!,32,FALSE),"")</f>
        <v/>
      </c>
      <c r="Q53" s="68" t="str">
        <f>IFERROR(VLOOKUP(Q$9,#REF!,32,FALSE),"")</f>
        <v/>
      </c>
      <c r="R53" s="68" t="str">
        <f>IFERROR(VLOOKUP(R$9,#REF!,32,FALSE),"")</f>
        <v/>
      </c>
      <c r="S53" s="68" t="str">
        <f>IFERROR(VLOOKUP(S$9,#REF!,32,FALSE),"")</f>
        <v/>
      </c>
      <c r="T53" s="68" t="str">
        <f>IFERROR(VLOOKUP(T$9,#REF!,32,FALSE),"")</f>
        <v/>
      </c>
      <c r="U53" s="68" t="str">
        <f>IFERROR(VLOOKUP(U$9,#REF!,32,FALSE),"")</f>
        <v/>
      </c>
      <c r="V53" s="68" t="str">
        <f>IFERROR(VLOOKUP(V$9,#REF!,32,FALSE),"")</f>
        <v/>
      </c>
      <c r="W53" s="68" t="str">
        <f>IFERROR(VLOOKUP(ACH$9,#REF!,32,FALSE),"")</f>
        <v/>
      </c>
      <c r="X53" s="68" t="str">
        <f>IFERROR(VLOOKUP(X$9,#REF!,32,FALSE),"")</f>
        <v/>
      </c>
      <c r="Y53" s="68" t="str">
        <f>IFERROR(VLOOKUP(Y$9,#REF!,32,FALSE),"")</f>
        <v/>
      </c>
      <c r="Z53" s="68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71" t="e">
        <f>#REF!</f>
        <v>#REF!</v>
      </c>
      <c r="AD53" s="72"/>
    </row>
    <row r="54" spans="1:30" ht="11.1" customHeight="1">
      <c r="A54" s="87">
        <v>39</v>
      </c>
      <c r="B54" s="64" t="s">
        <v>36</v>
      </c>
      <c r="C54" s="90" t="s">
        <v>78</v>
      </c>
      <c r="D54" s="70" t="str">
        <f>IF(cnt_新時瀬!$Z$5=0,"",演算タグ!D54)</f>
        <v/>
      </c>
      <c r="E54" s="70" t="str">
        <f>IF(cnt_小渡!$Z$5=0,"",演算タグ!F54)</f>
        <v/>
      </c>
      <c r="F54" s="70" t="str">
        <f>IF(cnt_万町!$Z$5=0,"",演算タグ!H54)</f>
        <v/>
      </c>
      <c r="G54" s="70" t="str">
        <f>IF(cnt_ぬくもり!$Z$5=0,"",演算タグ!J54)</f>
        <v/>
      </c>
      <c r="H54" s="70" t="str">
        <f>IF(cnt_日下部!$Z$5=0,"",演算タグ!L54)</f>
        <v/>
      </c>
      <c r="I54" s="70" t="str">
        <f>IF(cnt_旭高原!$Z$5=0,"",演算タグ!N54)</f>
        <v/>
      </c>
      <c r="J54" s="69"/>
      <c r="K54" s="70"/>
      <c r="L54" s="66" t="str">
        <f>IFERROR(VLOOKUP(L$9,#REF!,40,FALSE),"")</f>
        <v/>
      </c>
      <c r="M54" s="68" t="str">
        <f>IFERROR(VLOOKUP(M$9,#REF!,40,FALSE),"")</f>
        <v/>
      </c>
      <c r="N54" s="68" t="str">
        <f>IFERROR(VLOOKUP(N$9,#REF!,40,FALSE),"")</f>
        <v/>
      </c>
      <c r="O54" s="68" t="str">
        <f>IFERROR(VLOOKUP(O$9,#REF!,40,FALSE),"")</f>
        <v/>
      </c>
      <c r="P54" s="68" t="str">
        <f>IFERROR(VLOOKUP(P$9,#REF!,40,FALSE),"")</f>
        <v/>
      </c>
      <c r="Q54" s="68" t="str">
        <f>IFERROR(VLOOKUP(Q$9,#REF!,40,FALSE),"")</f>
        <v/>
      </c>
      <c r="R54" s="68" t="str">
        <f>IFERROR(VLOOKUP(R$9,#REF!,40,FALSE),"")</f>
        <v/>
      </c>
      <c r="S54" s="68" t="str">
        <f>IFERROR(VLOOKUP(S$9,#REF!,40,FALSE),"")</f>
        <v/>
      </c>
      <c r="T54" s="68" t="str">
        <f>IFERROR(VLOOKUP(T$9,#REF!,40,FALSE),"")</f>
        <v/>
      </c>
      <c r="U54" s="68" t="str">
        <f>IFERROR(VLOOKUP(U$9,#REF!,40,FALSE),"")</f>
        <v/>
      </c>
      <c r="V54" s="68" t="str">
        <f>IFERROR(VLOOKUP(V$9,#REF!,40,FALSE),"")</f>
        <v/>
      </c>
      <c r="W54" s="68" t="str">
        <f>IFERROR(VLOOKUP(ACH$9,#REF!,40,FALSE),"")</f>
        <v/>
      </c>
      <c r="X54" s="68" t="str">
        <f>IFERROR(VLOOKUP(X$9,#REF!,40,FALSE),"")</f>
        <v/>
      </c>
      <c r="Y54" s="68" t="str">
        <f>IFERROR(VLOOKUP(Y$9,#REF!,40,FALSE),"")</f>
        <v/>
      </c>
      <c r="Z54" s="68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71" t="e">
        <f>#REF!</f>
        <v>#REF!</v>
      </c>
      <c r="AD54" s="72"/>
    </row>
    <row r="55" spans="1:30" ht="11.1" customHeight="1">
      <c r="A55" s="87">
        <v>40</v>
      </c>
      <c r="B55" s="64" t="s">
        <v>48</v>
      </c>
      <c r="C55" s="90" t="s">
        <v>78</v>
      </c>
      <c r="D55" s="68" t="str">
        <f>IF(cnt_新時瀬!$AW$5=0,"",演算タグ!D55)</f>
        <v/>
      </c>
      <c r="E55" s="68" t="str">
        <f>IF(cnt_小渡!$AW$5=0,"",演算タグ!F55)</f>
        <v/>
      </c>
      <c r="F55" s="68" t="str">
        <f>IF(cnt_万町!$AW$5=0,"",演算タグ!H55)</f>
        <v/>
      </c>
      <c r="G55" s="68" t="str">
        <f>IF(cnt_ぬくもり!$AW$5=0,"",演算タグ!J55)</f>
        <v/>
      </c>
      <c r="H55" s="68" t="str">
        <f>IF(cnt_日下部!$AW$5=0,"",演算タグ!L55)</f>
        <v/>
      </c>
      <c r="I55" s="68" t="str">
        <f>IF(cnt_旭高原!$AW$5=0,"",演算タグ!N55)</f>
        <v/>
      </c>
      <c r="J55" s="66"/>
      <c r="K55" s="68"/>
      <c r="L55" s="66" t="str">
        <f>IFERROR(VLOOKUP(L$9,#REF!,71,FALSE),"")</f>
        <v/>
      </c>
      <c r="M55" s="68" t="str">
        <f>IFERROR(VLOOKUP(M$9,#REF!,71,FALSE),"")</f>
        <v/>
      </c>
      <c r="N55" s="68" t="str">
        <f>IFERROR(VLOOKUP(N$9,#REF!,71,FALSE),"")</f>
        <v/>
      </c>
      <c r="O55" s="68" t="str">
        <f>IFERROR(VLOOKUP(O$9,#REF!,71,FALSE),"")</f>
        <v/>
      </c>
      <c r="P55" s="68" t="str">
        <f>IFERROR(VLOOKUP(P$9,#REF!,71,FALSE),"")</f>
        <v/>
      </c>
      <c r="Q55" s="68" t="str">
        <f>IFERROR(VLOOKUP(Q$9,#REF!,71,FALSE),"")</f>
        <v/>
      </c>
      <c r="R55" s="68" t="str">
        <f>IFERROR(VLOOKUP(R$9,#REF!,71,FALSE),"")</f>
        <v/>
      </c>
      <c r="S55" s="68" t="str">
        <f>IFERROR(VLOOKUP(S$9,#REF!,71,FALSE),"")</f>
        <v/>
      </c>
      <c r="T55" s="68" t="str">
        <f>IFERROR(VLOOKUP(T$9,#REF!,71,FALSE),"")</f>
        <v/>
      </c>
      <c r="U55" s="68" t="str">
        <f>IFERROR(VLOOKUP(U$9,#REF!,71,FALSE),"")</f>
        <v/>
      </c>
      <c r="V55" s="68" t="str">
        <f>IFERROR(VLOOKUP(V$9,#REF!,71,FALSE),"")</f>
        <v/>
      </c>
      <c r="W55" s="68" t="str">
        <f>IFERROR(VLOOKUP(ACH$9,#REF!,71,FALSE),"")</f>
        <v/>
      </c>
      <c r="X55" s="68" t="str">
        <f>IFERROR(VLOOKUP(X$9,#REF!,71,FALSE),"")</f>
        <v/>
      </c>
      <c r="Y55" s="68" t="str">
        <f>IFERROR(VLOOKUP(Y$9,#REF!,71,FALSE),"")</f>
        <v/>
      </c>
      <c r="Z55" s="68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71" t="e">
        <f>#REF!</f>
        <v>#REF!</v>
      </c>
      <c r="AD55" s="72"/>
    </row>
    <row r="56" spans="1:30" ht="11.1" customHeight="1">
      <c r="A56" s="87">
        <v>41</v>
      </c>
      <c r="B56" s="64" t="s">
        <v>37</v>
      </c>
      <c r="C56" s="90" t="s">
        <v>78</v>
      </c>
      <c r="D56" s="98" t="str">
        <f>IF(cnt_新時瀬!$AX$5=0,"",IF(演算タグ!D56&lt;0.02,"0.02未満",演算タグ!D56))</f>
        <v/>
      </c>
      <c r="E56" s="98" t="str">
        <f>IF(cnt_小渡!$AX$5=0,"",IF(演算タグ!F56&lt;0.02,"0.02未満",演算タグ!F56))</f>
        <v/>
      </c>
      <c r="F56" s="98" t="str">
        <f>IF(cnt_万町!$AX$5=0,"",IF(演算タグ!H56&lt;0.02,"0.02未満",演算タグ!H56))</f>
        <v/>
      </c>
      <c r="G56" s="98" t="str">
        <f>IF(cnt_ぬくもり!$AX$5=0,"",IF(演算タグ!J56&lt;0.02,"0.02未満",演算タグ!J56))</f>
        <v/>
      </c>
      <c r="H56" s="98" t="str">
        <f>IF(cnt_日下部!$AX$5=0,"",IF(演算タグ!L56&lt;0.02,"0.02未満",演算タグ!L56))</f>
        <v/>
      </c>
      <c r="I56" s="98" t="str">
        <f>IF(cnt_旭高原!$AX$5=0,"",IF(演算タグ!N56&lt;0.02,"0.02未満",演算タグ!N56))</f>
        <v/>
      </c>
      <c r="J56" s="97"/>
      <c r="K56" s="98"/>
      <c r="L56" s="66" t="str">
        <f>IFERROR(VLOOKUP(L$9,#REF!,78,FALSE),"")</f>
        <v/>
      </c>
      <c r="M56" s="68" t="str">
        <f>IFERROR(VLOOKUP(M$9,#REF!,78,FALSE),"")</f>
        <v/>
      </c>
      <c r="N56" s="68" t="str">
        <f>IFERROR(VLOOKUP(N$9,#REF!,78,FALSE),"")</f>
        <v/>
      </c>
      <c r="O56" s="68" t="str">
        <f>IFERROR(VLOOKUP(O$9,#REF!,78,FALSE),"")</f>
        <v/>
      </c>
      <c r="P56" s="68" t="str">
        <f>IFERROR(VLOOKUP(P$9,#REF!,78,FALSE),"")</f>
        <v/>
      </c>
      <c r="Q56" s="68" t="str">
        <f>IFERROR(VLOOKUP(Q$9,#REF!,78,FALSE),"")</f>
        <v/>
      </c>
      <c r="R56" s="68" t="str">
        <f>IFERROR(VLOOKUP(R$9,#REF!,78,FALSE),"")</f>
        <v/>
      </c>
      <c r="S56" s="68" t="str">
        <f>IFERROR(VLOOKUP(S$9,#REF!,78,FALSE),"")</f>
        <v/>
      </c>
      <c r="T56" s="68" t="str">
        <f>IFERROR(VLOOKUP(T$9,#REF!,78,FALSE),"")</f>
        <v/>
      </c>
      <c r="U56" s="68" t="str">
        <f>IFERROR(VLOOKUP(U$9,#REF!,78,FALSE),"")</f>
        <v/>
      </c>
      <c r="V56" s="68" t="str">
        <f>IFERROR(VLOOKUP(V$9,#REF!,78,FALSE),"")</f>
        <v/>
      </c>
      <c r="W56" s="68" t="str">
        <f>IFERROR(VLOOKUP(ACH$9,#REF!,78,FALSE),"")</f>
        <v/>
      </c>
      <c r="X56" s="68" t="str">
        <f>IFERROR(VLOOKUP(X$9,#REF!,78,FALSE),"")</f>
        <v/>
      </c>
      <c r="Y56" s="68" t="str">
        <f>IFERROR(VLOOKUP(Y$9,#REF!,78,FALSE),"")</f>
        <v/>
      </c>
      <c r="Z56" s="68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71" t="e">
        <f>#REF!</f>
        <v>#REF!</v>
      </c>
      <c r="AD56" s="72"/>
    </row>
    <row r="57" spans="1:30" ht="11.1" customHeight="1">
      <c r="A57" s="87">
        <v>42</v>
      </c>
      <c r="B57" s="64" t="s">
        <v>38</v>
      </c>
      <c r="C57" s="90" t="s">
        <v>78</v>
      </c>
      <c r="D57" s="102" t="str">
        <f>IF(cnt_新時瀬!$AZ$5=0,"",IF(演算タグ!E57&lt;0.000001,"0.000001未満",演算タグ!E57))</f>
        <v>0.000001未満</v>
      </c>
      <c r="E57" s="102" t="str">
        <f>IF(cnt_小渡!$AZ$5=0,"",IF(演算タグ!G57&lt;0.000001,"0.000001未満",演算タグ!G57))</f>
        <v>0.000001未満</v>
      </c>
      <c r="F57" s="102" t="str">
        <f>IF(cnt_万町!$AZ$5=0,"",IF(演算タグ!I57&lt;0.000001,"0.000001未満",演算タグ!I57))</f>
        <v>0.000001未満</v>
      </c>
      <c r="G57" s="102" t="str">
        <f>IF(cnt_ぬくもり!$AZ$5=0,"",IF(演算タグ!K57&lt;0.000001,"0.000001未満",演算タグ!K57))</f>
        <v>0.000001未満</v>
      </c>
      <c r="H57" s="102" t="str">
        <f>IF(cnt_日下部!$AZ$5=0,"",IF(演算タグ!M57&lt;0.000001,"0.000001未満",演算タグ!M57))</f>
        <v>0.000001未満</v>
      </c>
      <c r="I57" s="102" t="str">
        <f>IF(cnt_旭高原!$AZ$5=0,"",IF(演算タグ!O57&lt;0.000001,"0.000001未満",演算タグ!O57))</f>
        <v>0.000001未満</v>
      </c>
      <c r="J57" s="101"/>
      <c r="K57" s="102"/>
      <c r="L57" s="66" t="str">
        <f>IFERROR(VLOOKUP(L$9,#REF!,80,FALSE),"")</f>
        <v/>
      </c>
      <c r="M57" s="68" t="str">
        <f>IFERROR(VLOOKUP(M$9,#REF!,80,FALSE),"")</f>
        <v/>
      </c>
      <c r="N57" s="68" t="str">
        <f>IFERROR(VLOOKUP(N$9,#REF!,80,FALSE),"")</f>
        <v/>
      </c>
      <c r="O57" s="68" t="str">
        <f>IFERROR(VLOOKUP(O$9,#REF!,80,FALSE),"")</f>
        <v/>
      </c>
      <c r="P57" s="68" t="str">
        <f>IFERROR(VLOOKUP(P$9,#REF!,80,FALSE),"")</f>
        <v/>
      </c>
      <c r="Q57" s="68" t="str">
        <f>IFERROR(VLOOKUP(Q$9,#REF!,80,FALSE),"")</f>
        <v/>
      </c>
      <c r="R57" s="68" t="str">
        <f>IFERROR(VLOOKUP(R$9,#REF!,80,FALSE),"")</f>
        <v/>
      </c>
      <c r="S57" s="68" t="str">
        <f>IFERROR(VLOOKUP(S$9,#REF!,80,FALSE),"")</f>
        <v/>
      </c>
      <c r="T57" s="68" t="str">
        <f>IFERROR(VLOOKUP(T$9,#REF!,80,FALSE),"")</f>
        <v/>
      </c>
      <c r="U57" s="68" t="str">
        <f>IFERROR(VLOOKUP(U$9,#REF!,80,FALSE),"")</f>
        <v/>
      </c>
      <c r="V57" s="68" t="str">
        <f>IFERROR(VLOOKUP(V$9,#REF!,80,FALSE),"")</f>
        <v/>
      </c>
      <c r="W57" s="68" t="str">
        <f>IFERROR(VLOOKUP(ACH$9,#REF!,80,FALSE),"")</f>
        <v/>
      </c>
      <c r="X57" s="68" t="str">
        <f>IFERROR(VLOOKUP(X$9,#REF!,80,FALSE),"")</f>
        <v/>
      </c>
      <c r="Y57" s="68" t="str">
        <f>IFERROR(VLOOKUP(Y$9,#REF!,80,FALSE),"")</f>
        <v/>
      </c>
      <c r="Z57" s="68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71" t="e">
        <f>#REF!</f>
        <v>#REF!</v>
      </c>
      <c r="AD57" s="72"/>
    </row>
    <row r="58" spans="1:30" ht="11.1" customHeight="1">
      <c r="A58" s="87">
        <v>43</v>
      </c>
      <c r="B58" s="64" t="s">
        <v>102</v>
      </c>
      <c r="C58" s="90" t="s">
        <v>78</v>
      </c>
      <c r="D58" s="102" t="str">
        <f>IF(cnt_新時瀬!$AY$5=0,"",IF(演算タグ!E58&lt;0.000001,"0.000001未満",演算タグ!E58))</f>
        <v>0.000001未満</v>
      </c>
      <c r="E58" s="102" t="str">
        <f>IF(cnt_小渡!$AY$5=0,"",IF(演算タグ!G58&lt;0.000001,"0.000001未満",演算タグ!G58))</f>
        <v>0.000001未満</v>
      </c>
      <c r="F58" s="102" t="str">
        <f>IF(cnt_万町!$AY$5=0,"",IF(演算タグ!I58&lt;0.000001,"0.000001未満",演算タグ!I58))</f>
        <v>0.000001未満</v>
      </c>
      <c r="G58" s="102" t="str">
        <f>IF(cnt_ぬくもり!$AY$5=0,"",IF(演算タグ!K58&lt;0.000001,"0.000001未満",演算タグ!K58))</f>
        <v>0.000001未満</v>
      </c>
      <c r="H58" s="102" t="str">
        <f>IF(cnt_日下部!$AY$5=0,"",IF(演算タグ!M58&lt;0.000001,"0.000001未満",演算タグ!M58))</f>
        <v>0.000001未満</v>
      </c>
      <c r="I58" s="102" t="str">
        <f>IF(cnt_旭高原!$AY$5=0,"",IF(演算タグ!O58&lt;0.000001,"0.000001未満",演算タグ!O58))</f>
        <v>0.000001未満</v>
      </c>
      <c r="J58" s="101"/>
      <c r="K58" s="102"/>
      <c r="L58" s="66" t="str">
        <f>IFERROR(VLOOKUP(L$9,#REF!,81,FALSE),"")</f>
        <v/>
      </c>
      <c r="M58" s="68" t="str">
        <f>IFERROR(VLOOKUP(M$9,#REF!,81,FALSE),"")</f>
        <v/>
      </c>
      <c r="N58" s="68" t="str">
        <f>IFERROR(VLOOKUP(N$9,#REF!,81,FALSE),"")</f>
        <v/>
      </c>
      <c r="O58" s="68" t="str">
        <f>IFERROR(VLOOKUP(O$9,#REF!,81,FALSE),"")</f>
        <v/>
      </c>
      <c r="P58" s="68" t="str">
        <f>IFERROR(VLOOKUP(P$9,#REF!,81,FALSE),"")</f>
        <v/>
      </c>
      <c r="Q58" s="68" t="str">
        <f>IFERROR(VLOOKUP(Q$9,#REF!,81,FALSE),"")</f>
        <v/>
      </c>
      <c r="R58" s="68" t="str">
        <f>IFERROR(VLOOKUP(R$9,#REF!,81,FALSE),"")</f>
        <v/>
      </c>
      <c r="S58" s="68" t="str">
        <f>IFERROR(VLOOKUP(S$9,#REF!,81,FALSE),"")</f>
        <v/>
      </c>
      <c r="T58" s="68" t="str">
        <f>IFERROR(VLOOKUP(T$9,#REF!,81,FALSE),"")</f>
        <v/>
      </c>
      <c r="U58" s="68" t="str">
        <f>IFERROR(VLOOKUP(U$9,#REF!,81,FALSE),"")</f>
        <v/>
      </c>
      <c r="V58" s="68" t="str">
        <f>IFERROR(VLOOKUP(V$9,#REF!,81,FALSE),"")</f>
        <v/>
      </c>
      <c r="W58" s="68" t="str">
        <f>IFERROR(VLOOKUP(ACH$9,#REF!,81,FALSE),"")</f>
        <v/>
      </c>
      <c r="X58" s="68" t="str">
        <f>IFERROR(VLOOKUP(X$9,#REF!,81,FALSE),"")</f>
        <v/>
      </c>
      <c r="Y58" s="68" t="str">
        <f>IFERROR(VLOOKUP(Y$9,#REF!,81,FALSE),"")</f>
        <v/>
      </c>
      <c r="Z58" s="68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71" t="e">
        <f>#REF!</f>
        <v>#REF!</v>
      </c>
      <c r="AD58" s="72"/>
    </row>
    <row r="59" spans="1:30" ht="11.1" customHeight="1">
      <c r="A59" s="87">
        <v>44</v>
      </c>
      <c r="B59" s="64" t="s">
        <v>39</v>
      </c>
      <c r="C59" s="90" t="s">
        <v>78</v>
      </c>
      <c r="D59" s="96">
        <f>IF(cnt_新時瀬!$BA$5=0,"",IF(演算タグ!D59&lt;0.002,"0.002未満",演算タグ!D59))</f>
        <v>4.0000000000000001E-3</v>
      </c>
      <c r="E59" s="96">
        <f>IF(cnt_小渡!$BA$5=0,"",IF(演算タグ!F59&lt;0.002,"0.002未満",演算タグ!F59))</f>
        <v>5.0000000000000001E-3</v>
      </c>
      <c r="F59" s="96" t="str">
        <f>IF(cnt_万町!$BA$5=0,"",IF(演算タグ!H59&lt;0.002,"0.002未満",演算タグ!H59))</f>
        <v/>
      </c>
      <c r="G59" s="96" t="str">
        <f>IF(cnt_ぬくもり!$BA$5=0,"",IF(演算タグ!J59&lt;0.002,"0.002未満",演算タグ!J59))</f>
        <v/>
      </c>
      <c r="H59" s="96" t="str">
        <f>IF(cnt_日下部!$BA$5=0,"",IF(演算タグ!L59&lt;0.002,"0.002未満",演算タグ!L59))</f>
        <v/>
      </c>
      <c r="I59" s="96" t="str">
        <f>IF(cnt_旭高原!$BA$5=0,"",IF(演算タグ!N59&lt;0.002,"0.002未満",演算タグ!N59))</f>
        <v/>
      </c>
      <c r="J59" s="95"/>
      <c r="K59" s="96"/>
      <c r="L59" s="66" t="str">
        <f>IFERROR(VLOOKUP(L$9,#REF!,84,FALSE),"")</f>
        <v/>
      </c>
      <c r="M59" s="68" t="str">
        <f>IFERROR(VLOOKUP(M$9,#REF!,84,FALSE),"")</f>
        <v/>
      </c>
      <c r="N59" s="68" t="str">
        <f>IFERROR(VLOOKUP(N$9,#REF!,84,FALSE),"")</f>
        <v/>
      </c>
      <c r="O59" s="68" t="str">
        <f>IFERROR(VLOOKUP(O$9,#REF!,84,FALSE),"")</f>
        <v/>
      </c>
      <c r="P59" s="68" t="str">
        <f>IFERROR(VLOOKUP(P$9,#REF!,84,FALSE),"")</f>
        <v/>
      </c>
      <c r="Q59" s="68" t="str">
        <f>IFERROR(VLOOKUP(Q$9,#REF!,84,FALSE),"")</f>
        <v/>
      </c>
      <c r="R59" s="68" t="str">
        <f>IFERROR(VLOOKUP(R$9,#REF!,84,FALSE),"")</f>
        <v/>
      </c>
      <c r="S59" s="68" t="str">
        <f>IFERROR(VLOOKUP(S$9,#REF!,84,FALSE),"")</f>
        <v/>
      </c>
      <c r="T59" s="68" t="str">
        <f>IFERROR(VLOOKUP(T$9,#REF!,84,FALSE),"")</f>
        <v/>
      </c>
      <c r="U59" s="68" t="str">
        <f>IFERROR(VLOOKUP(U$9,#REF!,84,FALSE),"")</f>
        <v/>
      </c>
      <c r="V59" s="68" t="str">
        <f>IFERROR(VLOOKUP(V$9,#REF!,84,FALSE),"")</f>
        <v/>
      </c>
      <c r="W59" s="68" t="str">
        <f>IFERROR(VLOOKUP(ACH$9,#REF!,84,FALSE),"")</f>
        <v/>
      </c>
      <c r="X59" s="68" t="str">
        <f>IFERROR(VLOOKUP(X$9,#REF!,84,FALSE),"")</f>
        <v/>
      </c>
      <c r="Y59" s="68" t="str">
        <f>IFERROR(VLOOKUP(Y$9,#REF!,84,FALSE),"")</f>
        <v/>
      </c>
      <c r="Z59" s="68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71" t="e">
        <f>#REF!</f>
        <v>#REF!</v>
      </c>
      <c r="AD59" s="72"/>
    </row>
    <row r="60" spans="1:30" ht="11.1" customHeight="1">
      <c r="A60" s="87">
        <v>45</v>
      </c>
      <c r="B60" s="64" t="s">
        <v>40</v>
      </c>
      <c r="C60" s="90" t="s">
        <v>78</v>
      </c>
      <c r="D60" s="92" t="str">
        <f>IF(cnt_新時瀬!$BB$5=0,"",IF(演算タグ!E60&lt;0.0005,"0.0005未満",演算タグ!E60))</f>
        <v/>
      </c>
      <c r="E60" s="92" t="str">
        <f>IF(cnt_小渡!$BB$5=0,"",IF(演算タグ!G60&lt;0.0005,"0.0005未満",演算タグ!G60))</f>
        <v/>
      </c>
      <c r="F60" s="92" t="str">
        <f>IF(cnt_万町!$BB$5=0,"",IF(演算タグ!I60&lt;0.0005,"0.0005未満",演算タグ!I60))</f>
        <v/>
      </c>
      <c r="G60" s="92" t="str">
        <f>IF(cnt_ぬくもり!$BB$5=0,"",IF(演算タグ!K60&lt;0.0005,"0.0005未満",演算タグ!K60))</f>
        <v/>
      </c>
      <c r="H60" s="92" t="str">
        <f>IF(cnt_日下部!$BB$5=0,"",IF(演算タグ!M60&lt;0.0005,"0.0005未満",演算タグ!M60))</f>
        <v/>
      </c>
      <c r="I60" s="92" t="str">
        <f>IF(cnt_旭高原!$BB$5=0,"",IF(演算タグ!O60&lt;0.0005,"0.0005未満",演算タグ!O60))</f>
        <v/>
      </c>
      <c r="J60" s="91"/>
      <c r="K60" s="92"/>
      <c r="L60" s="66" t="str">
        <f>IFERROR(VLOOKUP(L$9,#REF!,93,FALSE),"")</f>
        <v/>
      </c>
      <c r="M60" s="68" t="str">
        <f>IFERROR(VLOOKUP(M$9,#REF!,93,FALSE),"")</f>
        <v/>
      </c>
      <c r="N60" s="68" t="str">
        <f>IFERROR(VLOOKUP(N$9,#REF!,93,FALSE),"")</f>
        <v/>
      </c>
      <c r="O60" s="68" t="str">
        <f>IFERROR(VLOOKUP(O$9,#REF!,93,FALSE),"")</f>
        <v/>
      </c>
      <c r="P60" s="68" t="str">
        <f>IFERROR(VLOOKUP(P$9,#REF!,93,FALSE),"")</f>
        <v/>
      </c>
      <c r="Q60" s="68" t="str">
        <f>IFERROR(VLOOKUP(Q$9,#REF!,93,FALSE),"")</f>
        <v/>
      </c>
      <c r="R60" s="68" t="str">
        <f>IFERROR(VLOOKUP(R$9,#REF!,93,FALSE),"")</f>
        <v/>
      </c>
      <c r="S60" s="68" t="str">
        <f>IFERROR(VLOOKUP(S$9,#REF!,93,FALSE),"")</f>
        <v/>
      </c>
      <c r="T60" s="68" t="str">
        <f>IFERROR(VLOOKUP(T$9,#REF!,93,FALSE),"")</f>
        <v/>
      </c>
      <c r="U60" s="68" t="str">
        <f>IFERROR(VLOOKUP(U$9,#REF!,93,FALSE),"")</f>
        <v/>
      </c>
      <c r="V60" s="68" t="str">
        <f>IFERROR(VLOOKUP(V$9,#REF!,93,FALSE),"")</f>
        <v/>
      </c>
      <c r="W60" s="68" t="str">
        <f>IFERROR(VLOOKUP(ACH$9,#REF!,93,FALSE),"")</f>
        <v/>
      </c>
      <c r="X60" s="68" t="str">
        <f>IFERROR(VLOOKUP(X$9,#REF!,93,FALSE),"")</f>
        <v/>
      </c>
      <c r="Y60" s="68" t="str">
        <f>IFERROR(VLOOKUP(Y$9,#REF!,93,FALSE),"")</f>
        <v/>
      </c>
      <c r="Z60" s="68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71" t="e">
        <f>#REF!</f>
        <v>#REF!</v>
      </c>
      <c r="AD60" s="72"/>
    </row>
    <row r="61" spans="1:30" ht="10.5" customHeight="1">
      <c r="A61" s="87">
        <v>46</v>
      </c>
      <c r="B61" s="64" t="s">
        <v>348</v>
      </c>
      <c r="C61" s="90" t="s">
        <v>78</v>
      </c>
      <c r="D61" s="70">
        <f>IF(cnt_新時瀬!$BC$5=0,"",IF(演算タグ!D61&lt;0.2,"0.2未満",演算タグ!D61))</f>
        <v>0.3</v>
      </c>
      <c r="E61" s="70">
        <f>IF(cnt_小渡!$BC$5=0,"",IF(演算タグ!F61&lt;0.2,"0.2未満",演算タグ!F61))</f>
        <v>0.3</v>
      </c>
      <c r="F61" s="70">
        <f>IF(cnt_万町!$BC$5=0,"",IF(演算タグ!H61&lt;0.2,"0.2未満",演算タグ!H61))</f>
        <v>0.5</v>
      </c>
      <c r="G61" s="70">
        <f>IF(cnt_ぬくもり!$BC$5=0,"",IF(演算タグ!J61&lt;0.2,"0.2未満",演算タグ!J61))</f>
        <v>0.6</v>
      </c>
      <c r="H61" s="70">
        <f>IF(cnt_日下部!$BC$5=0,"",IF(演算タグ!L61&lt;0.2,"0.2未満",演算タグ!L61))</f>
        <v>0.6</v>
      </c>
      <c r="I61" s="70">
        <f>IF(cnt_旭高原!$BC$5=0,"",IF(演算タグ!N61&lt;0.2,"0.2未満",演算タグ!N61))</f>
        <v>0.5</v>
      </c>
      <c r="J61" s="69"/>
      <c r="K61" s="70"/>
      <c r="L61" s="66" t="str">
        <f>IFERROR(VLOOKUP(L$9,#REF!,95,FALSE),"")</f>
        <v/>
      </c>
      <c r="M61" s="68" t="str">
        <f>IFERROR(VLOOKUP(M$9,#REF!,95,FALSE),"")</f>
        <v/>
      </c>
      <c r="N61" s="68" t="str">
        <f>IFERROR(VLOOKUP(N$9,#REF!,95,FALSE),"")</f>
        <v/>
      </c>
      <c r="O61" s="68" t="str">
        <f>IFERROR(VLOOKUP(O$9,#REF!,95,FALSE),"")</f>
        <v/>
      </c>
      <c r="P61" s="68" t="str">
        <f>IFERROR(VLOOKUP(P$9,#REF!,95,FALSE),"")</f>
        <v/>
      </c>
      <c r="Q61" s="68" t="str">
        <f>IFERROR(VLOOKUP(Q$9,#REF!,95,FALSE),"")</f>
        <v/>
      </c>
      <c r="R61" s="68" t="str">
        <f>IFERROR(VLOOKUP(R$9,#REF!,95,FALSE),"")</f>
        <v/>
      </c>
      <c r="S61" s="68" t="str">
        <f>IFERROR(VLOOKUP(S$9,#REF!,95,FALSE),"")</f>
        <v/>
      </c>
      <c r="T61" s="68" t="str">
        <f>IFERROR(VLOOKUP(T$9,#REF!,95,FALSE),"")</f>
        <v/>
      </c>
      <c r="U61" s="68" t="str">
        <f>IFERROR(VLOOKUP(U$9,#REF!,95,FALSE),"")</f>
        <v/>
      </c>
      <c r="V61" s="68" t="str">
        <f>IFERROR(VLOOKUP(V$9,#REF!,95,FALSE),"")</f>
        <v/>
      </c>
      <c r="W61" s="68" t="str">
        <f>IFERROR(VLOOKUP(ACH$9,#REF!,95,FALSE),"")</f>
        <v/>
      </c>
      <c r="X61" s="68" t="str">
        <f>IFERROR(VLOOKUP(X$9,#REF!,95,FALSE),"")</f>
        <v/>
      </c>
      <c r="Y61" s="68" t="str">
        <f>IFERROR(VLOOKUP(Y$9,#REF!,95,FALSE),"")</f>
        <v/>
      </c>
      <c r="Z61" s="68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71" t="e">
        <f>#REF!</f>
        <v>#REF!</v>
      </c>
      <c r="AD61" s="72"/>
    </row>
    <row r="62" spans="1:30" ht="11.1" customHeight="1">
      <c r="A62" s="87">
        <v>47</v>
      </c>
      <c r="B62" s="64" t="s">
        <v>72</v>
      </c>
      <c r="C62" s="103" t="s">
        <v>75</v>
      </c>
      <c r="D62" s="70">
        <f>IF(cnt_新時瀬!$BF$5=0,"",演算タグ!D62)</f>
        <v>7.2</v>
      </c>
      <c r="E62" s="70">
        <f>IF(cnt_小渡!$BF$5=0,"",演算タグ!F62)</f>
        <v>7.2</v>
      </c>
      <c r="F62" s="70">
        <f>IF(cnt_万町!$BF$5=0,"",演算タグ!H62)</f>
        <v>7.6</v>
      </c>
      <c r="G62" s="70">
        <f>IF(cnt_ぬくもり!$BF$5=0,"",演算タグ!J62)</f>
        <v>7.8</v>
      </c>
      <c r="H62" s="70">
        <f>IF(cnt_日下部!$BF$5=0,"",演算タグ!L62)</f>
        <v>6.7</v>
      </c>
      <c r="I62" s="70">
        <f>IF(cnt_旭高原!$BF$5=0,"",演算タグ!N62)</f>
        <v>7</v>
      </c>
      <c r="J62" s="69"/>
      <c r="K62" s="70"/>
      <c r="L62" s="66" t="str">
        <f>IFERROR(VLOOKUP(L$9,#REF!,99,FALSE),"")</f>
        <v/>
      </c>
      <c r="M62" s="68" t="str">
        <f>IFERROR(VLOOKUP(M$9,#REF!,99,FALSE),"")</f>
        <v/>
      </c>
      <c r="N62" s="68" t="str">
        <f>IFERROR(VLOOKUP(N$9,#REF!,99,FALSE),"")</f>
        <v/>
      </c>
      <c r="O62" s="68" t="str">
        <f>IFERROR(VLOOKUP(O$9,#REF!,99,FALSE),"")</f>
        <v/>
      </c>
      <c r="P62" s="68" t="str">
        <f>IFERROR(VLOOKUP(P$9,#REF!,99,FALSE),"")</f>
        <v/>
      </c>
      <c r="Q62" s="68" t="str">
        <f>IFERROR(VLOOKUP(Q$9,#REF!,99,FALSE),"")</f>
        <v/>
      </c>
      <c r="R62" s="68" t="str">
        <f>IFERROR(VLOOKUP(R$9,#REF!,99,FALSE),"")</f>
        <v/>
      </c>
      <c r="S62" s="68" t="str">
        <f>IFERROR(VLOOKUP(S$9,#REF!,99,FALSE),"")</f>
        <v/>
      </c>
      <c r="T62" s="68" t="str">
        <f>IFERROR(VLOOKUP(T$9,#REF!,99,FALSE),"")</f>
        <v/>
      </c>
      <c r="U62" s="68" t="str">
        <f>IFERROR(VLOOKUP(U$9,#REF!,99,FALSE),"")</f>
        <v/>
      </c>
      <c r="V62" s="68" t="str">
        <f>IFERROR(VLOOKUP(V$9,#REF!,99,FALSE),"")</f>
        <v/>
      </c>
      <c r="W62" s="68" t="str">
        <f>IFERROR(VLOOKUP(ACH$9,#REF!,99,FALSE),"")</f>
        <v/>
      </c>
      <c r="X62" s="68" t="str">
        <f>IFERROR(VLOOKUP(X$9,#REF!,99,FALSE),"")</f>
        <v/>
      </c>
      <c r="Y62" s="68" t="str">
        <f>IFERROR(VLOOKUP(Y$9,#REF!,99,FALSE),"")</f>
        <v/>
      </c>
      <c r="Z62" s="68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71" t="e">
        <f>#REF!</f>
        <v>#REF!</v>
      </c>
      <c r="AD62" s="72"/>
    </row>
    <row r="63" spans="1:30" ht="11.1" customHeight="1">
      <c r="A63" s="87">
        <v>48</v>
      </c>
      <c r="B63" s="64" t="s">
        <v>33</v>
      </c>
      <c r="C63" s="103" t="s">
        <v>75</v>
      </c>
      <c r="D63" s="68" t="str">
        <f>IF(OR(cnt_新時瀬!$BH$5=0,演算タグ!D63=""),"",IF(演算タグ!D63=1,"異常なし","異常あり"))</f>
        <v>異常なし</v>
      </c>
      <c r="E63" s="68" t="str">
        <f>IF(OR(cnt_小渡!$BH$5=0,演算タグ!F63=""),"",IF(演算タグ!F63=1,"異常なし","異常あり"))</f>
        <v>異常なし</v>
      </c>
      <c r="F63" s="68" t="str">
        <f>IF(OR(cnt_万町!$BH$5=0,演算タグ!H63=""),"",IF(演算タグ!H63=1,"異常なし","異常あり"))</f>
        <v>異常なし</v>
      </c>
      <c r="G63" s="68" t="str">
        <f>IF(OR(cnt_ぬくもり!$BH$5=0,演算タグ!J63=""),"",IF(演算タグ!J63=1,"異常なし","異常あり"))</f>
        <v>異常なし</v>
      </c>
      <c r="H63" s="68" t="str">
        <f>IF(OR(cnt_日下部!$BH$5=0,演算タグ!L63=""),"",IF(演算タグ!L63=1,"異常なし","異常あり"))</f>
        <v>異常なし</v>
      </c>
      <c r="I63" s="68" t="str">
        <f>IF(OR(cnt_旭高原!$BH$5=0,演算タグ!N63=""),"",IF(演算タグ!N63=1,"異常なし","異常あり"))</f>
        <v>異常なし</v>
      </c>
      <c r="J63" s="66"/>
      <c r="K63" s="68"/>
      <c r="L63" s="66" t="str">
        <f>IFERROR(VLOOKUP(L$9,#REF!,101,FALSE),"")</f>
        <v/>
      </c>
      <c r="M63" s="68" t="str">
        <f>IFERROR(VLOOKUP(M$9,#REF!,101,FALSE),"")</f>
        <v/>
      </c>
      <c r="N63" s="68" t="str">
        <f>IFERROR(VLOOKUP(N$9,#REF!,101,FALSE),"")</f>
        <v/>
      </c>
      <c r="O63" s="68" t="str">
        <f>IFERROR(VLOOKUP(O$9,#REF!,101,FALSE),"")</f>
        <v/>
      </c>
      <c r="P63" s="68" t="str">
        <f>IFERROR(VLOOKUP(P$9,#REF!,101,FALSE),"")</f>
        <v/>
      </c>
      <c r="Q63" s="68" t="str">
        <f>IFERROR(VLOOKUP(Q$9,#REF!,101,FALSE),"")</f>
        <v/>
      </c>
      <c r="R63" s="68" t="str">
        <f>IFERROR(VLOOKUP(R$9,#REF!,101,FALSE),"")</f>
        <v/>
      </c>
      <c r="S63" s="68" t="str">
        <f>IFERROR(VLOOKUP(S$9,#REF!,101,FALSE),"")</f>
        <v/>
      </c>
      <c r="T63" s="68" t="str">
        <f>IFERROR(VLOOKUP(T$9,#REF!,101,FALSE),"")</f>
        <v/>
      </c>
      <c r="U63" s="68" t="str">
        <f>IFERROR(VLOOKUP(U$9,#REF!,101,FALSE),"")</f>
        <v/>
      </c>
      <c r="V63" s="68" t="str">
        <f>IFERROR(VLOOKUP(V$9,#REF!,101,FALSE),"")</f>
        <v/>
      </c>
      <c r="W63" s="68" t="str">
        <f>IFERROR(VLOOKUP(ACH$9,#REF!,101,FALSE),"")</f>
        <v/>
      </c>
      <c r="X63" s="68" t="str">
        <f>IFERROR(VLOOKUP(X$9,#REF!,101,FALSE),"")</f>
        <v/>
      </c>
      <c r="Y63" s="68" t="str">
        <f>IFERROR(VLOOKUP(Y$9,#REF!,101,FALSE),"")</f>
        <v/>
      </c>
      <c r="Z63" s="68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89"/>
      <c r="AD63" s="72"/>
    </row>
    <row r="64" spans="1:30" ht="11.1" customHeight="1">
      <c r="A64" s="87">
        <v>49</v>
      </c>
      <c r="B64" s="64" t="s">
        <v>41</v>
      </c>
      <c r="C64" s="103" t="s">
        <v>75</v>
      </c>
      <c r="D64" s="68" t="str">
        <f>IF(OR(cnt_新時瀬!$BG$5=0,演算タグ!D64=""),"",VLOOKUP(演算タグ!D64,変換!$F$1:$G$13,2,FALSE))</f>
        <v>異常なし</v>
      </c>
      <c r="E64" s="68" t="str">
        <f>IF(OR(cnt_小渡!$BG$5=0,演算タグ!F64=""),"",VLOOKUP(演算タグ!F64,変換!$F$1:$G$13,2,FALSE))</f>
        <v>異常なし</v>
      </c>
      <c r="F64" s="68" t="str">
        <f>IF(OR(cnt_万町!$BG$5=0,演算タグ!H64=""),"",VLOOKUP(演算タグ!H64,変換!$F$1:$G$13,2,FALSE))</f>
        <v>異常なし</v>
      </c>
      <c r="G64" s="68" t="str">
        <f>IF(OR(cnt_ぬくもり!$BG$5=0,演算タグ!J64=""),"",VLOOKUP(演算タグ!J64,変換!$F$1:$G$13,2,FALSE))</f>
        <v>異常なし</v>
      </c>
      <c r="H64" s="68" t="str">
        <f>IF(OR(cnt_日下部!$BG$5=0,演算タグ!L64=""),"",VLOOKUP(演算タグ!L64,変換!$F$1:$G$13,2,FALSE))</f>
        <v>異常なし</v>
      </c>
      <c r="I64" s="68" t="str">
        <f>IF(OR(cnt_旭高原!$BG$5=0,演算タグ!N64=""),"",VLOOKUP(演算タグ!N64,変換!$F$1:$G$13,2,FALSE))</f>
        <v>異常なし</v>
      </c>
      <c r="J64" s="66"/>
      <c r="K64" s="68"/>
      <c r="L64" s="66" t="str">
        <f>IFERROR(VLOOKUP(L$9,#REF!,100,FALSE),"")</f>
        <v/>
      </c>
      <c r="M64" s="68" t="str">
        <f>IFERROR(VLOOKUP(M$9,#REF!,100,FALSE),"")</f>
        <v/>
      </c>
      <c r="N64" s="68" t="str">
        <f>IFERROR(VLOOKUP(N$9,#REF!,100,FALSE),"")</f>
        <v/>
      </c>
      <c r="O64" s="68" t="str">
        <f>IFERROR(VLOOKUP(O$9,#REF!,100,FALSE),"")</f>
        <v/>
      </c>
      <c r="P64" s="68" t="str">
        <f>IFERROR(VLOOKUP(P$9,#REF!,100,FALSE),"")</f>
        <v/>
      </c>
      <c r="Q64" s="68" t="str">
        <f>IFERROR(VLOOKUP(Q$9,#REF!,100,FALSE),"")</f>
        <v/>
      </c>
      <c r="R64" s="68" t="str">
        <f>IFERROR(VLOOKUP(R$9,#REF!,100,FALSE),"")</f>
        <v/>
      </c>
      <c r="S64" s="68" t="str">
        <f>IFERROR(VLOOKUP(S$9,#REF!,100,FALSE),"")</f>
        <v/>
      </c>
      <c r="T64" s="68" t="str">
        <f>IFERROR(VLOOKUP(T$9,#REF!,100,FALSE),"")</f>
        <v/>
      </c>
      <c r="U64" s="68" t="str">
        <f>IFERROR(VLOOKUP(U$9,#REF!,100,FALSE),"")</f>
        <v/>
      </c>
      <c r="V64" s="68" t="str">
        <f>IFERROR(VLOOKUP(V$9,#REF!,100,FALSE),"")</f>
        <v/>
      </c>
      <c r="W64" s="68" t="str">
        <f>IFERROR(VLOOKUP(ACH$9,#REF!,100,FALSE),"")</f>
        <v/>
      </c>
      <c r="X64" s="68" t="str">
        <f>IFERROR(VLOOKUP(X$9,#REF!,100,FALSE),"")</f>
        <v/>
      </c>
      <c r="Y64" s="68" t="str">
        <f>IFERROR(VLOOKUP(Y$9,#REF!,100,FALSE),"")</f>
        <v/>
      </c>
      <c r="Z64" s="68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89"/>
      <c r="AD64" s="72"/>
    </row>
    <row r="65" spans="1:30" ht="11.1" customHeight="1">
      <c r="A65" s="87">
        <v>50</v>
      </c>
      <c r="B65" s="64" t="s">
        <v>42</v>
      </c>
      <c r="C65" s="90" t="s">
        <v>79</v>
      </c>
      <c r="D65" s="70" t="str">
        <f>IF(cnt_新時瀬!$BD$5=0,"",IF(演算タグ!D65&lt;0.5,"0.5未満",演算タグ!D65))</f>
        <v>0.5未満</v>
      </c>
      <c r="E65" s="70" t="str">
        <f>IF(cnt_小渡!$BD$5=0,"",IF(演算タグ!F65&lt;0.5,"0.5未満",演算タグ!F65))</f>
        <v>0.5未満</v>
      </c>
      <c r="F65" s="70" t="str">
        <f>IF(cnt_万町!$BD$5=0,"",IF(演算タグ!H65&lt;0.5,"0.5未満",演算タグ!H65))</f>
        <v>0.5未満</v>
      </c>
      <c r="G65" s="70" t="str">
        <f>IF(cnt_ぬくもり!$BD$5=0,"",IF(演算タグ!J65&lt;0.5,"0.5未満",演算タグ!J65))</f>
        <v>0.5未満</v>
      </c>
      <c r="H65" s="70">
        <f>IF(cnt_日下部!$BD$5=0,"",IF(演算タグ!L65&lt;0.5,"0.5未満",演算タグ!L65))</f>
        <v>0.9</v>
      </c>
      <c r="I65" s="70" t="str">
        <f>IF(cnt_旭高原!$BD$5=0,"",IF(演算タグ!N65&lt;0.5,"0.5未満",演算タグ!N65))</f>
        <v>0.5未満</v>
      </c>
      <c r="J65" s="69"/>
      <c r="K65" s="70"/>
      <c r="L65" s="66" t="str">
        <f>IFERROR(VLOOKUP(L$9,#REF!,97,FALSE),"")</f>
        <v/>
      </c>
      <c r="M65" s="68" t="str">
        <f>IFERROR(VLOOKUP(M$9,#REF!,97,FALSE),"")</f>
        <v/>
      </c>
      <c r="N65" s="68" t="str">
        <f>IFERROR(VLOOKUP(N$9,#REF!,97,FALSE),"")</f>
        <v/>
      </c>
      <c r="O65" s="68" t="str">
        <f>IFERROR(VLOOKUP(O$9,#REF!,97,FALSE),"")</f>
        <v/>
      </c>
      <c r="P65" s="68" t="str">
        <f>IFERROR(VLOOKUP(P$9,#REF!,97,FALSE),"")</f>
        <v/>
      </c>
      <c r="Q65" s="68" t="str">
        <f>IFERROR(VLOOKUP(Q$9,#REF!,97,FALSE),"")</f>
        <v/>
      </c>
      <c r="R65" s="68" t="str">
        <f>IFERROR(VLOOKUP(R$9,#REF!,97,FALSE),"")</f>
        <v/>
      </c>
      <c r="S65" s="68" t="str">
        <f>IFERROR(VLOOKUP(S$9,#REF!,97,FALSE),"")</f>
        <v/>
      </c>
      <c r="T65" s="68" t="str">
        <f>IFERROR(VLOOKUP(T$9,#REF!,97,FALSE),"")</f>
        <v/>
      </c>
      <c r="U65" s="68" t="str">
        <f>IFERROR(VLOOKUP(U$9,#REF!,97,FALSE),"")</f>
        <v/>
      </c>
      <c r="V65" s="68" t="str">
        <f>IFERROR(VLOOKUP(V$9,#REF!,97,FALSE),"")</f>
        <v/>
      </c>
      <c r="W65" s="68" t="str">
        <f>IFERROR(VLOOKUP(ACH$9,#REF!,97,FALSE),"")</f>
        <v/>
      </c>
      <c r="X65" s="68" t="str">
        <f>IFERROR(VLOOKUP(X$9,#REF!,97,FALSE),"")</f>
        <v/>
      </c>
      <c r="Y65" s="68" t="str">
        <f>IFERROR(VLOOKUP(Y$9,#REF!,97,FALSE),"")</f>
        <v/>
      </c>
      <c r="Z65" s="68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71" t="e">
        <f>#REF!</f>
        <v>#REF!</v>
      </c>
      <c r="AD65" s="72"/>
    </row>
    <row r="66" spans="1:30" ht="11.1" customHeight="1" thickBot="1">
      <c r="A66" s="105">
        <v>51</v>
      </c>
      <c r="B66" s="106" t="s">
        <v>43</v>
      </c>
      <c r="C66" s="107" t="s">
        <v>79</v>
      </c>
      <c r="D66" s="109" t="str">
        <f>IF(cnt_新時瀬!$BE$5=0,"",IF(演算タグ!D66&lt;0.1,"0.1未満",演算タグ!D66))</f>
        <v>0.1未満</v>
      </c>
      <c r="E66" s="109" t="str">
        <f>IF(cnt_小渡!$BE$5=0,"",IF(演算タグ!F66&lt;0.1,"0.1未満",演算タグ!F66))</f>
        <v>0.1未満</v>
      </c>
      <c r="F66" s="109" t="str">
        <f>IF(cnt_万町!$BE$5=0,"",IF(演算タグ!H66&lt;0.1,"0.1未満",演算タグ!H66))</f>
        <v>0.1未満</v>
      </c>
      <c r="G66" s="109" t="str">
        <f>IF(cnt_ぬくもり!$BE$5=0,"",IF(演算タグ!J66&lt;0.1,"0.1未満",演算タグ!J66))</f>
        <v>0.1未満</v>
      </c>
      <c r="H66" s="109" t="str">
        <f>IF(cnt_日下部!$BE$5=0,"",IF(演算タグ!L66&lt;0.1,"0.1未満",演算タグ!L66))</f>
        <v>0.1未満</v>
      </c>
      <c r="I66" s="109" t="str">
        <f>IF(cnt_旭高原!$BE$5=0,"",IF(演算タグ!N66&lt;0.1,"0.1未満",演算タグ!N66))</f>
        <v>0.1未満</v>
      </c>
      <c r="J66" s="108"/>
      <c r="K66" s="109"/>
      <c r="L66" s="66" t="str">
        <f>IFERROR(VLOOKUP(L$9,#REF!,98,FALSE),"")</f>
        <v/>
      </c>
      <c r="M66" s="68" t="str">
        <f>IFERROR(VLOOKUP(M$9,#REF!,98,FALSE),"")</f>
        <v/>
      </c>
      <c r="N66" s="68" t="str">
        <f>IFERROR(VLOOKUP(N$9,#REF!,98,FALSE),"")</f>
        <v/>
      </c>
      <c r="O66" s="68" t="str">
        <f>IFERROR(VLOOKUP(O$9,#REF!,98,FALSE),"")</f>
        <v/>
      </c>
      <c r="P66" s="68" t="str">
        <f>IFERROR(VLOOKUP(P$9,#REF!,98,FALSE),"")</f>
        <v/>
      </c>
      <c r="Q66" s="68" t="str">
        <f>IFERROR(VLOOKUP(Q$9,#REF!,98,FALSE),"")</f>
        <v/>
      </c>
      <c r="R66" s="68" t="str">
        <f>IFERROR(VLOOKUP(R$9,#REF!,98,FALSE),"")</f>
        <v/>
      </c>
      <c r="S66" s="68" t="str">
        <f>IFERROR(VLOOKUP(S$9,#REF!,98,FALSE),"")</f>
        <v/>
      </c>
      <c r="T66" s="68" t="str">
        <f>IFERROR(VLOOKUP(T$9,#REF!,98,FALSE),"")</f>
        <v/>
      </c>
      <c r="U66" s="68" t="str">
        <f>IFERROR(VLOOKUP(U$9,#REF!,98,FALSE),"")</f>
        <v/>
      </c>
      <c r="V66" s="68" t="str">
        <f>IFERROR(VLOOKUP(V$9,#REF!,98,FALSE),"")</f>
        <v/>
      </c>
      <c r="W66" s="68" t="str">
        <f>IFERROR(VLOOKUP(ACH$9,#REF!,98,FALSE),"")</f>
        <v/>
      </c>
      <c r="X66" s="68" t="str">
        <f>IFERROR(VLOOKUP(X$9,#REF!,98,FALSE),"")</f>
        <v/>
      </c>
      <c r="Y66" s="68" t="str">
        <f>IFERROR(VLOOKUP(Y$9,#REF!,98,FALSE),"")</f>
        <v/>
      </c>
      <c r="Z66" s="68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71" t="e">
        <f>#REF!</f>
        <v>#REF!</v>
      </c>
      <c r="AD66" s="72"/>
    </row>
    <row r="67" spans="1:30" ht="11.1" customHeight="1" thickBot="1">
      <c r="B67" s="111"/>
      <c r="C67" s="33"/>
      <c r="D67" s="179"/>
      <c r="E67" s="179"/>
      <c r="F67" s="179"/>
      <c r="G67" s="179"/>
      <c r="H67" s="179"/>
      <c r="I67" s="179"/>
      <c r="J67" s="179"/>
      <c r="K67" s="179"/>
      <c r="L67" s="66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71"/>
      <c r="AD67" s="72"/>
    </row>
    <row r="68" spans="1:30" ht="11.1" customHeight="1" thickTop="1">
      <c r="A68" s="180">
        <f>EDATE(演算タグ!B1,-3)</f>
        <v>45748</v>
      </c>
      <c r="B68" s="180"/>
      <c r="C68" s="181">
        <f>演算タグ!B1</f>
        <v>45839</v>
      </c>
      <c r="D68" s="181"/>
      <c r="E68" s="113"/>
      <c r="F68" s="113"/>
      <c r="G68" s="113"/>
      <c r="H68" s="113"/>
      <c r="I68" s="113"/>
      <c r="J68" s="113"/>
      <c r="K68" s="113"/>
      <c r="L68" s="114"/>
      <c r="M68" s="66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115"/>
      <c r="AD68" s="32"/>
    </row>
    <row r="69" spans="1:30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20"/>
      <c r="L69" s="66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71"/>
      <c r="AD69" s="72"/>
    </row>
    <row r="70" spans="1:30" ht="11.1" customHeight="1">
      <c r="A70" s="82">
        <v>1</v>
      </c>
      <c r="B70" s="121" t="s">
        <v>61</v>
      </c>
      <c r="C70" s="83" t="s">
        <v>78</v>
      </c>
      <c r="D70" s="96" t="str">
        <f>IF(cnt_新時瀬!$O$5=0,"",IF(演算タグ!E70&lt;0.001,"0.001未満",演算タグ!E70))</f>
        <v/>
      </c>
      <c r="E70" s="96" t="str">
        <f>IF(cnt_小渡!$O$5=0,"",IF(演算タグ!G70&lt;0.001,"0.001未満",演算タグ!G70))</f>
        <v/>
      </c>
      <c r="F70" s="96" t="str">
        <f>IF(cnt_万町!$O$5=0,"",IF(演算タグ!I70&lt;0.001,"0.001未満",演算タグ!I70))</f>
        <v/>
      </c>
      <c r="G70" s="96" t="str">
        <f>IF(cnt_ぬくもり!$O$5=0,"",IF(演算タグ!K70&lt;0.001,"0.001未満",演算タグ!K70))</f>
        <v/>
      </c>
      <c r="H70" s="96" t="str">
        <f>IF(cnt_日下部!$O$5=0,"",IF(演算タグ!M70&lt;0.001,"0.001未満",演算タグ!M70))</f>
        <v/>
      </c>
      <c r="I70" s="96" t="str">
        <f>IF(cnt_旭高原!$O$5=0,"",IF(演算タグ!O70&lt;0.001,"0.001未満",演算タグ!O70))</f>
        <v/>
      </c>
      <c r="J70" s="95"/>
      <c r="K70" s="96"/>
      <c r="L70" s="66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2"/>
    </row>
    <row r="71" spans="1:30" ht="11.1" customHeight="1">
      <c r="A71" s="87">
        <v>2</v>
      </c>
      <c r="B71" s="124" t="s">
        <v>62</v>
      </c>
      <c r="C71" s="90" t="s">
        <v>78</v>
      </c>
      <c r="D71" s="92" t="str">
        <f>IF(cnt_新時瀬!$P$5=0,"",IF(演算タグ!E71&lt;0.0002,"0.0002未満",演算タグ!E71))</f>
        <v/>
      </c>
      <c r="E71" s="92" t="str">
        <f>IF(cnt_小渡!$P$5=0,"",IF(演算タグ!G71&lt;0.0002,"0.0002未満",演算タグ!G71))</f>
        <v/>
      </c>
      <c r="F71" s="92" t="str">
        <f>IF(cnt_万町!$P$5=0,"",IF(演算タグ!I71&lt;0.0002,"0.0002未満",演算タグ!I71))</f>
        <v/>
      </c>
      <c r="G71" s="92" t="str">
        <f>IF(cnt_ぬくもり!$P$5=0,"",IF(演算タグ!K71&lt;0.0002,"0.0002未満",演算タグ!K71))</f>
        <v/>
      </c>
      <c r="H71" s="92" t="str">
        <f>IF(cnt_日下部!$P$5=0,"",IF(演算タグ!M71&lt;0.0002,"0.0002未満",演算タグ!M71))</f>
        <v/>
      </c>
      <c r="I71" s="92" t="str">
        <f>IF(cnt_旭高原!$P$5=0,"",IF(演算タグ!O71&lt;0.0002,"0.0002未満",演算タグ!O71))</f>
        <v/>
      </c>
      <c r="J71" s="91"/>
      <c r="K71" s="92"/>
      <c r="L71" s="66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2"/>
    </row>
    <row r="72" spans="1:30" ht="11.1" customHeight="1">
      <c r="A72" s="87">
        <v>3</v>
      </c>
      <c r="B72" s="124" t="s">
        <v>63</v>
      </c>
      <c r="C72" s="90" t="s">
        <v>78</v>
      </c>
      <c r="D72" s="96" t="str">
        <f>IF(cnt_新時瀬!$Q$5=0,"",IF(演算タグ!E72&lt;0.001,"0.001未満",演算タグ!E72))</f>
        <v/>
      </c>
      <c r="E72" s="96" t="str">
        <f>IF(cnt_小渡!$Q$5=0,"",IF(演算タグ!G72&lt;0.001,"0.001未満",演算タグ!G72))</f>
        <v/>
      </c>
      <c r="F72" s="96" t="str">
        <f>IF(cnt_万町!$Q$5=0,"",IF(演算タグ!I72&lt;0.001,"0.001未満",演算タグ!I72))</f>
        <v/>
      </c>
      <c r="G72" s="96" t="str">
        <f>IF(cnt_ぬくもり!$Q$5=0,"",IF(演算タグ!K72&lt;0.001,"0.001未満",演算タグ!K72))</f>
        <v/>
      </c>
      <c r="H72" s="96" t="str">
        <f>IF(cnt_日下部!$Q$5=0,"",IF(演算タグ!M72&lt;0.001,"0.001未満",演算タグ!M72))</f>
        <v/>
      </c>
      <c r="I72" s="96" t="str">
        <f>IF(cnt_旭高原!$Q$5=0,"",IF(演算タグ!O72&lt;0.001,"0.001未満",演算タグ!O72))</f>
        <v/>
      </c>
      <c r="J72" s="95"/>
      <c r="K72" s="96"/>
      <c r="L72" s="66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2"/>
    </row>
    <row r="73" spans="1:30" ht="11.1" customHeight="1">
      <c r="A73" s="87">
        <v>4</v>
      </c>
      <c r="B73" s="124" t="s">
        <v>97</v>
      </c>
      <c r="C73" s="90" t="s">
        <v>78</v>
      </c>
      <c r="D73" s="92" t="str">
        <f>IF(cnt_新時瀬!$AM$5=0,"",IF(演算タグ!E73&lt;0.0002,"0.0002未満",演算タグ!E73))</f>
        <v/>
      </c>
      <c r="E73" s="92" t="str">
        <f>IF(cnt_小渡!$AM$5=0,"",IF(演算タグ!G73&lt;0.0002,"0.0002未満",演算タグ!G73))</f>
        <v/>
      </c>
      <c r="F73" s="92" t="str">
        <f>IF(cnt_万町!$AM$5=0,"",IF(演算タグ!I73&lt;0.0002,"0.0002未満",演算タグ!I73))</f>
        <v/>
      </c>
      <c r="G73" s="92" t="str">
        <f>IF(cnt_ぬくもり!$AM$5=0,"",IF(演算タグ!K73&lt;0.0002,"0.0002未満",演算タグ!K73))</f>
        <v/>
      </c>
      <c r="H73" s="92" t="str">
        <f>IF(cnt_日下部!$AM$5=0,"",IF(演算タグ!M73&lt;0.0002,"0.0002未満",演算タグ!M73))</f>
        <v/>
      </c>
      <c r="I73" s="92" t="str">
        <f>IF(cnt_旭高原!$AM$5=0,"",IF(演算タグ!O73&lt;0.0002,"0.0002未満",演算タグ!O73))</f>
        <v/>
      </c>
      <c r="J73" s="91"/>
      <c r="K73" s="92"/>
      <c r="L73" s="66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2"/>
    </row>
    <row r="74" spans="1:30" ht="11.1" customHeight="1">
      <c r="A74" s="87">
        <v>5</v>
      </c>
      <c r="B74" s="124" t="s">
        <v>49</v>
      </c>
      <c r="C74" s="90" t="s">
        <v>78</v>
      </c>
      <c r="D74" s="96" t="str">
        <f>IF(cnt_新時瀬!$AN$5=0,"",IF(演算タグ!E74&lt;0.001,"0.001未満",演算タグ!E74))</f>
        <v/>
      </c>
      <c r="E74" s="96" t="str">
        <f>IF(cnt_小渡!$AN$5=0,"",IF(演算タグ!G74&lt;0.001,"0.001未満",演算タグ!G74))</f>
        <v/>
      </c>
      <c r="F74" s="96" t="str">
        <f>IF(cnt_万町!$AN$5=0,"",IF(演算タグ!I74&lt;0.001,"0.001未満",演算タグ!I74))</f>
        <v/>
      </c>
      <c r="G74" s="96" t="str">
        <f>IF(cnt_ぬくもり!$AN$5=0,"",IF(演算タグ!K74&lt;0.001,"0.001未満",演算タグ!K74))</f>
        <v/>
      </c>
      <c r="H74" s="96" t="str">
        <f>IF(cnt_日下部!$AN$5=0,"",IF(演算タグ!M74&lt;0.001,"0.001未満",演算タグ!M74))</f>
        <v/>
      </c>
      <c r="I74" s="96" t="str">
        <f>IF(cnt_旭高原!$AN$5=0,"",IF(演算タグ!O74&lt;0.001,"0.001未満",演算タグ!O74))</f>
        <v/>
      </c>
      <c r="J74" s="95"/>
      <c r="K74" s="96"/>
      <c r="L74" s="66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2"/>
    </row>
    <row r="75" spans="1:30" ht="11.1" customHeight="1">
      <c r="A75" s="87">
        <v>6</v>
      </c>
      <c r="B75" s="124" t="s">
        <v>96</v>
      </c>
      <c r="C75" s="90" t="s">
        <v>78</v>
      </c>
      <c r="D75" s="96" t="str">
        <f>IF(cnt_新時瀬!$BI$5=0,"",IF(演算タグ!E75&lt;0.008,"0.008未満",演算タグ!E75))</f>
        <v/>
      </c>
      <c r="E75" s="96" t="str">
        <f>IF(cnt_小渡!$BI$5=0,"",IF(演算タグ!G75&lt;0.008,"0.008未満",演算タグ!G75))</f>
        <v/>
      </c>
      <c r="F75" s="96" t="str">
        <f>IF(cnt_万町!$BI$5=0,"",IF(演算タグ!I75&lt;0.008,"0.008未満",演算タグ!I75))</f>
        <v/>
      </c>
      <c r="G75" s="96" t="str">
        <f>IF(cnt_ぬくもり!$BI$5=0,"",IF(演算タグ!K75&lt;0.008,"0.008未満",演算タグ!K75))</f>
        <v/>
      </c>
      <c r="H75" s="96" t="str">
        <f>IF(cnt_日下部!$BI$5=0,"",IF(演算タグ!M75&lt;0.008,"0.008未満",演算タグ!M75))</f>
        <v/>
      </c>
      <c r="I75" s="96" t="str">
        <f>IF(cnt_旭高原!$BI$5=0,"",IF(演算タグ!O75&lt;0.008,"0.008未満",演算タグ!O75))</f>
        <v/>
      </c>
      <c r="J75" s="95"/>
      <c r="K75" s="96"/>
      <c r="L75" s="66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2"/>
    </row>
    <row r="76" spans="1:30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6"/>
      <c r="K76" s="68"/>
      <c r="L76" s="66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2"/>
    </row>
    <row r="77" spans="1:30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6"/>
      <c r="K77" s="68"/>
      <c r="L77" s="66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2"/>
    </row>
    <row r="78" spans="1:30" ht="11.1" customHeight="1">
      <c r="A78" s="87">
        <v>9</v>
      </c>
      <c r="B78" s="124" t="s">
        <v>52</v>
      </c>
      <c r="C78" s="90" t="s">
        <v>78</v>
      </c>
      <c r="D78" s="96" t="str">
        <f>IF(cnt_新時瀬!$BJ$5=0,"",IF(演算タグ!D78&lt;0.001,"0.001未満",演算タグ!D78))</f>
        <v/>
      </c>
      <c r="E78" s="96" t="str">
        <f>IF(cnt_小渡!$BJ$5=0,"",IF(演算タグ!F78&lt;0.001,"0.001未満",演算タグ!F78))</f>
        <v/>
      </c>
      <c r="F78" s="96" t="str">
        <f>IF(cnt_万町!$BJ$5=0,"",IF(演算タグ!H78&lt;0.001,"0.001未満",演算タグ!H78))</f>
        <v/>
      </c>
      <c r="G78" s="96" t="str">
        <f>IF(cnt_ぬくもり!$BJ$5=0,"",IF(演算タグ!J78&lt;0.001,"0.001未満",演算タグ!J78))</f>
        <v/>
      </c>
      <c r="H78" s="96" t="str">
        <f>IF(cnt_日下部!$BJ$5=0,"",IF(演算タグ!L78&lt;0.001,"0.001未満",演算タグ!L78))</f>
        <v/>
      </c>
      <c r="I78" s="96" t="str">
        <f>IF(cnt_旭高原!$BJ$5=0,"",IF(演算タグ!N78&lt;0.001,"0.001未満",演算タグ!N78))</f>
        <v/>
      </c>
      <c r="J78" s="95"/>
      <c r="K78" s="96"/>
      <c r="L78" s="66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2"/>
    </row>
    <row r="79" spans="1:30" ht="11.1" customHeight="1">
      <c r="A79" s="87">
        <v>10</v>
      </c>
      <c r="B79" s="124" t="s">
        <v>53</v>
      </c>
      <c r="C79" s="90" t="s">
        <v>78</v>
      </c>
      <c r="D79" s="96" t="str">
        <f>IF(cnt_新時瀬!$BK$5=0,"",IF(演算タグ!D79&lt;0.002,"0.002未満",演算タグ!D79))</f>
        <v/>
      </c>
      <c r="E79" s="96" t="str">
        <f>IF(cnt_小渡!$BK$5=0,"",IF(演算タグ!F79&lt;0.002,"0.002未満",演算タグ!F79))</f>
        <v/>
      </c>
      <c r="F79" s="96" t="str">
        <f>IF(cnt_万町!$BK$5=0,"",IF(演算タグ!H79&lt;0.002,"0.002未満",演算タグ!H79))</f>
        <v/>
      </c>
      <c r="G79" s="96" t="str">
        <f>IF(cnt_ぬくもり!$BK$5=0,"",IF(演算タグ!J79&lt;0.002,"0.002未満",演算タグ!J79))</f>
        <v/>
      </c>
      <c r="H79" s="96" t="str">
        <f>IF(cnt_日下部!$BK$5=0,"",IF(演算タグ!L79&lt;0.002,"0.002未満",演算タグ!L79))</f>
        <v/>
      </c>
      <c r="I79" s="96" t="str">
        <f>IF(cnt_旭高原!$BK$5=0,"",IF(演算タグ!N79&lt;0.002,"0.002未満",演算タグ!N79))</f>
        <v/>
      </c>
      <c r="J79" s="95"/>
      <c r="K79" s="96"/>
      <c r="L79" s="66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2"/>
    </row>
    <row r="80" spans="1:30" ht="11.1" customHeight="1">
      <c r="A80" s="87">
        <v>11</v>
      </c>
      <c r="B80" s="124" t="s">
        <v>94</v>
      </c>
      <c r="C80" s="103" t="s">
        <v>90</v>
      </c>
      <c r="D80" s="70" t="str">
        <f>IF(cnt_新時瀬!$BZ$5=0,"",IF(演算タグ!D80&lt;0.1,"0.1未満",演算タグ!D80))</f>
        <v/>
      </c>
      <c r="E80" s="70" t="str">
        <f>IF(cnt_小渡!$BZ$5=0,"",IF(演算タグ!F80&lt;0.1,"0.1未満",演算タグ!F80))</f>
        <v/>
      </c>
      <c r="F80" s="70" t="str">
        <f>IF(cnt_万町!$BZ$5=0,"",IF(演算タグ!H80&lt;0.1,"0.1未満",演算タグ!H80))</f>
        <v/>
      </c>
      <c r="G80" s="70" t="str">
        <f>IF(cnt_ぬくもり!$BZ$5=0,"",IF(演算タグ!J80&lt;0.1,"0.1未満",演算タグ!J80))</f>
        <v/>
      </c>
      <c r="H80" s="70" t="str">
        <f>IF(cnt_日下部!$BZ$5=0,"",IF(演算タグ!L80&lt;0.1,"0.1未満",演算タグ!L80))</f>
        <v/>
      </c>
      <c r="I80" s="70" t="str">
        <f>IF(cnt_旭高原!$BZ$5=0,"",IF(演算タグ!N80&lt;0.1,"0.1未満",演算タグ!N80))</f>
        <v/>
      </c>
      <c r="J80" s="69"/>
      <c r="K80" s="70"/>
      <c r="L80" s="66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2"/>
    </row>
    <row r="81" spans="1:30" ht="11.1" customHeight="1">
      <c r="A81" s="87">
        <v>12</v>
      </c>
      <c r="B81" s="124" t="s">
        <v>54</v>
      </c>
      <c r="C81" s="90" t="s">
        <v>78</v>
      </c>
      <c r="D81" s="70">
        <f>IF(cnt_新時瀬!$BW$5=0,"",IF(演算タグ!D81&lt;0.1,"0.1未満",演算タグ!D81))</f>
        <v>0.8</v>
      </c>
      <c r="E81" s="70">
        <f>IF(cnt_小渡!$BW$5=0,"",IF(演算タグ!F81&lt;0.1,"0.1未満",演算タグ!F81))</f>
        <v>0.3</v>
      </c>
      <c r="F81" s="70">
        <f>IF(cnt_万町!$BW$5=0,"",IF(演算タグ!H81&lt;0.1,"0.1未満",演算タグ!H81))</f>
        <v>1</v>
      </c>
      <c r="G81" s="70">
        <f>IF(cnt_ぬくもり!$BW$5=0,"",IF(演算タグ!J81&lt;0.1,"0.1未満",演算タグ!J81))</f>
        <v>0.3</v>
      </c>
      <c r="H81" s="70">
        <f>IF(cnt_日下部!$BW$5=0,"",IF(演算タグ!L81&lt;0.1,"0.1未満",演算タグ!L81))</f>
        <v>0.6</v>
      </c>
      <c r="I81" s="70">
        <f>IF(cnt_旭高原!$BW$5=0,"",IF(演算タグ!N81&lt;0.1,"0.1未満",演算タグ!N81))</f>
        <v>0.4</v>
      </c>
      <c r="J81" s="69"/>
      <c r="K81" s="70"/>
      <c r="L81" s="66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2"/>
    </row>
    <row r="82" spans="1:30" ht="11.1" customHeight="1">
      <c r="A82" s="87">
        <v>13</v>
      </c>
      <c r="B82" s="124" t="s">
        <v>64</v>
      </c>
      <c r="C82" s="90" t="s">
        <v>78</v>
      </c>
      <c r="D82" s="70" t="str">
        <f>IF(cnt_新時瀬!$Z$5=0,"",演算タグ!D82)</f>
        <v/>
      </c>
      <c r="E82" s="70" t="str">
        <f>IF(cnt_小渡!$Z$5=0,"",演算タグ!F82)</f>
        <v/>
      </c>
      <c r="F82" s="70" t="str">
        <f>IF(cnt_万町!$Z$5=0,"",演算タグ!H82)</f>
        <v/>
      </c>
      <c r="G82" s="70" t="str">
        <f>IF(cnt_ぬくもり!$Z$5=0,"",演算タグ!J82)</f>
        <v/>
      </c>
      <c r="H82" s="70" t="str">
        <f>IF(cnt_日下部!$Z$5=0,"",演算タグ!L82)</f>
        <v/>
      </c>
      <c r="I82" s="70" t="str">
        <f>IF(cnt_旭高原!$Z$5=0,"",演算タグ!N82)</f>
        <v/>
      </c>
      <c r="J82" s="69"/>
      <c r="K82" s="70"/>
      <c r="L82" s="66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2"/>
    </row>
    <row r="83" spans="1:30" ht="11.1" customHeight="1">
      <c r="A83" s="87">
        <v>14</v>
      </c>
      <c r="B83" s="124" t="s">
        <v>65</v>
      </c>
      <c r="C83" s="90" t="s">
        <v>78</v>
      </c>
      <c r="D83" s="96" t="str">
        <f>IF(cnt_新時瀬!$N$5=0,"",IF(演算タグ!E83&lt;0.001,"0.001未満",演算タグ!E83))</f>
        <v/>
      </c>
      <c r="E83" s="96" t="str">
        <f>IF(cnt_小渡!$N$5=0,"",IF(演算タグ!G83&lt;0.001,"0.001未満",演算タグ!G83))</f>
        <v/>
      </c>
      <c r="F83" s="96" t="str">
        <f>IF(cnt_万町!$N$5=0,"",IF(演算タグ!I83&lt;0.001,"0.001未満",演算タグ!I83))</f>
        <v/>
      </c>
      <c r="G83" s="96" t="str">
        <f>IF(cnt_ぬくもり!$N$5=0,"",IF(演算タグ!K83&lt;0.001,"0.001未満",演算タグ!K83))</f>
        <v/>
      </c>
      <c r="H83" s="96" t="str">
        <f>IF(cnt_日下部!$N$5=0,"",IF(演算タグ!M83&lt;0.001,"0.001未満",演算タグ!M83))</f>
        <v/>
      </c>
      <c r="I83" s="96" t="str">
        <f>IF(cnt_旭高原!$N$5=0,"",IF(演算タグ!O83&lt;0.001,"0.001未満",演算タグ!O83))</f>
        <v/>
      </c>
      <c r="J83" s="95"/>
      <c r="K83" s="96"/>
      <c r="L83" s="66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2"/>
    </row>
    <row r="84" spans="1:30" ht="11.1" customHeight="1">
      <c r="A84" s="87">
        <v>15</v>
      </c>
      <c r="B84" s="124" t="s">
        <v>55</v>
      </c>
      <c r="C84" s="90" t="s">
        <v>78</v>
      </c>
      <c r="D84" s="70" t="str">
        <f>IF(cnt_新時瀬!$BM$5=0,"",演算タグ!D84)</f>
        <v/>
      </c>
      <c r="E84" s="70" t="str">
        <f>IF(cnt_小渡!$BM$5=0,"",演算タグ!F84)</f>
        <v/>
      </c>
      <c r="F84" s="70" t="str">
        <f>IF(cnt_万町!$BM$5=0,"",演算タグ!H84)</f>
        <v/>
      </c>
      <c r="G84" s="70" t="str">
        <f>IF(cnt_ぬくもり!$BM$5=0,"",演算タグ!J84)</f>
        <v/>
      </c>
      <c r="H84" s="70" t="str">
        <f>IF(cnt_日下部!$BM$5=0,"",演算タグ!L84)</f>
        <v/>
      </c>
      <c r="I84" s="70" t="str">
        <f>IF(cnt_旭高原!$BM$5=0,"",演算タグ!N84)</f>
        <v/>
      </c>
      <c r="J84" s="69"/>
      <c r="K84" s="70"/>
      <c r="L84" s="66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2"/>
    </row>
    <row r="85" spans="1:30" ht="11.1" customHeight="1">
      <c r="A85" s="87">
        <v>16</v>
      </c>
      <c r="B85" s="124" t="s">
        <v>95</v>
      </c>
      <c r="C85" s="90" t="s">
        <v>78</v>
      </c>
      <c r="D85" s="96" t="str">
        <f>IF(cnt_新時瀬!$AO$5=0,"",IF(演算タグ!D85&lt;0.001,"0.001未満",演算タグ!D85))</f>
        <v/>
      </c>
      <c r="E85" s="96" t="str">
        <f>IF(cnt_小渡!$AO$5=0,"",IF(演算タグ!F85&lt;0.001,"0.001未満",演算タグ!F85))</f>
        <v/>
      </c>
      <c r="F85" s="96" t="str">
        <f>IF(cnt_万町!$AO$5=0,"",IF(演算タグ!H85&lt;0.001,"0.001未満",演算タグ!H85))</f>
        <v/>
      </c>
      <c r="G85" s="96" t="str">
        <f>IF(cnt_ぬくもり!$AO$5=0,"",IF(演算タグ!J85&lt;0.001,"0.001未満",演算タグ!J85))</f>
        <v/>
      </c>
      <c r="H85" s="96" t="str">
        <f>IF(cnt_日下部!$AO$5=0,"",IF(演算タグ!L85&lt;0.001,"0.001未満",演算タグ!L85))</f>
        <v/>
      </c>
      <c r="I85" s="96" t="str">
        <f>IF(cnt_旭高原!$AO$5=0,"",IF(演算タグ!N85&lt;0.001,"0.001未満",演算タグ!N85))</f>
        <v/>
      </c>
      <c r="J85" s="95"/>
      <c r="K85" s="96"/>
      <c r="L85" s="66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2"/>
    </row>
    <row r="86" spans="1:30" ht="11.1" customHeight="1">
      <c r="A86" s="87">
        <v>17</v>
      </c>
      <c r="B86" s="124" t="s">
        <v>66</v>
      </c>
      <c r="C86" s="90" t="s">
        <v>78</v>
      </c>
      <c r="D86" s="96" t="str">
        <f>IF(cnt_新時瀬!$AP$5=0,"",IF(演算タグ!D86&lt;0.001,"0.001未満",演算タグ!D86))</f>
        <v/>
      </c>
      <c r="E86" s="96" t="str">
        <f>IF(cnt_小渡!$AP$5=0,"",IF(演算タグ!F86&lt;0.001,"0.001未満",演算タグ!F86))</f>
        <v/>
      </c>
      <c r="F86" s="96" t="str">
        <f>IF(cnt_万町!$AP$5=0,"",IF(演算タグ!H86&lt;0.001,"0.001未満",演算タグ!H86))</f>
        <v/>
      </c>
      <c r="G86" s="96" t="str">
        <f>IF(cnt_ぬくもり!$AP$5=0,"",IF(演算タグ!J86&lt;0.001,"0.001未満",演算タグ!J86))</f>
        <v/>
      </c>
      <c r="H86" s="96" t="str">
        <f>IF(cnt_日下部!$AP$5=0,"",IF(演算タグ!L86&lt;0.001,"0.001未満",演算タグ!L86))</f>
        <v/>
      </c>
      <c r="I86" s="96" t="str">
        <f>IF(cnt_旭高原!$AP$5=0,"",IF(演算タグ!N86&lt;0.001,"0.001未満",演算タグ!N86))</f>
        <v/>
      </c>
      <c r="J86" s="95"/>
      <c r="K86" s="96"/>
      <c r="L86" s="66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2"/>
    </row>
    <row r="87" spans="1:30" ht="11.1" customHeight="1">
      <c r="A87" s="87">
        <v>18</v>
      </c>
      <c r="B87" s="124" t="s">
        <v>67</v>
      </c>
      <c r="C87" s="90" t="s">
        <v>78</v>
      </c>
      <c r="D87" s="70" t="str">
        <f>IF(cnt_新時瀬!$BP$5=0,"",演算タグ!D87)</f>
        <v/>
      </c>
      <c r="E87" s="70" t="str">
        <f>IF(cnt_小渡!$BP$5=0,"",演算タグ!F87)</f>
        <v/>
      </c>
      <c r="F87" s="70" t="str">
        <f>IF(cnt_万町!$BP$5=0,"",演算タグ!H87)</f>
        <v/>
      </c>
      <c r="G87" s="70" t="str">
        <f>IF(cnt_ぬくもり!$BP$5=0,"",演算タグ!J87)</f>
        <v/>
      </c>
      <c r="H87" s="70" t="str">
        <f>IF(cnt_日下部!$BP$5=0,"",演算タグ!L87)</f>
        <v/>
      </c>
      <c r="I87" s="70" t="str">
        <f>IF(cnt_旭高原!$BP$5=0,"",演算タグ!N87)</f>
        <v/>
      </c>
      <c r="J87" s="69"/>
      <c r="K87" s="70"/>
      <c r="L87" s="66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2"/>
    </row>
    <row r="88" spans="1:30" ht="11.1" customHeight="1">
      <c r="A88" s="87">
        <v>19</v>
      </c>
      <c r="B88" s="124" t="s">
        <v>98</v>
      </c>
      <c r="C88" s="103" t="s">
        <v>90</v>
      </c>
      <c r="D88" s="68" t="str">
        <f>IF(cnt_新時瀬!$BQ$5=0,"",IF(演算タグ!D88&lt;1,"1未満",演算タグ!D88))</f>
        <v>1未満</v>
      </c>
      <c r="E88" s="68" t="str">
        <f>IF(cnt_小渡!$BQ$5=0,"",IF(演算タグ!F88&lt;1,"1未満",演算タグ!F88))</f>
        <v>1未満</v>
      </c>
      <c r="F88" s="68" t="str">
        <f>IF(cnt_万町!$BQ$5=0,"",IF(演算タグ!H88&lt;1,"1未満",演算タグ!H88))</f>
        <v>1未満</v>
      </c>
      <c r="G88" s="68" t="str">
        <f>IF(cnt_ぬくもり!$BQ$5=0,"",IF(演算タグ!J88&lt;1,"1未満",演算タグ!J88))</f>
        <v>1未満</v>
      </c>
      <c r="H88" s="68" t="str">
        <f>IF(cnt_日下部!$BQ$5=0,"",IF(演算タグ!L88&lt;1,"1未満",演算タグ!L88))</f>
        <v>1未満</v>
      </c>
      <c r="I88" s="68" t="str">
        <f>IF(cnt_旭高原!$BQ$5=0,"",IF(演算タグ!N88&lt;1,"1未満",演算タグ!N88))</f>
        <v>1未満</v>
      </c>
      <c r="J88" s="66"/>
      <c r="K88" s="68"/>
      <c r="L88" s="66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2"/>
    </row>
    <row r="89" spans="1:30" ht="11.1" customHeight="1">
      <c r="A89" s="87">
        <v>20</v>
      </c>
      <c r="B89" s="124" t="s">
        <v>56</v>
      </c>
      <c r="C89" s="90" t="s">
        <v>78</v>
      </c>
      <c r="D89" s="68" t="str">
        <f>IF(cnt_新時瀬!$AW$5=0,"",演算タグ!D89)</f>
        <v/>
      </c>
      <c r="E89" s="68" t="str">
        <f>IF(cnt_小渡!$AW$5=0,"",演算タグ!F89)</f>
        <v/>
      </c>
      <c r="F89" s="68" t="str">
        <f>IF(cnt_万町!$AW$5=0,"",演算タグ!H89)</f>
        <v/>
      </c>
      <c r="G89" s="68" t="str">
        <f>IF(cnt_ぬくもり!$AW$5=0,"",演算タグ!J89)</f>
        <v/>
      </c>
      <c r="H89" s="68" t="str">
        <f>IF(cnt_日下部!$AW$5=0,"",演算タグ!L89)</f>
        <v/>
      </c>
      <c r="I89" s="68" t="str">
        <f>IF(cnt_旭高原!$AW$5=0,"",演算タグ!N89)</f>
        <v/>
      </c>
      <c r="J89" s="66"/>
      <c r="K89" s="68"/>
      <c r="L89" s="66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2"/>
    </row>
    <row r="90" spans="1:30" ht="11.1" customHeight="1">
      <c r="A90" s="87">
        <v>21</v>
      </c>
      <c r="B90" s="124" t="s">
        <v>43</v>
      </c>
      <c r="C90" s="127" t="s">
        <v>91</v>
      </c>
      <c r="D90" s="70" t="str">
        <f>IF(cnt_新時瀬!$BE$5=0,"",IF(演算タグ!D90&lt;0.1,"0.1未満",演算タグ!D90))</f>
        <v>0.1未満</v>
      </c>
      <c r="E90" s="70" t="str">
        <f>IF(cnt_小渡!$BE$5=0,"",IF(演算タグ!F90&lt;0.1,"0.1未満",演算タグ!F90))</f>
        <v>0.1未満</v>
      </c>
      <c r="F90" s="70" t="str">
        <f>IF(cnt_万町!$BE$5=0,"",IF(演算タグ!H90&lt;0.1,"0.1未満",演算タグ!H90))</f>
        <v>0.1未満</v>
      </c>
      <c r="G90" s="70" t="str">
        <f>IF(cnt_ぬくもり!$BE$5=0,"",IF(演算タグ!J90&lt;0.1,"0.1未満",演算タグ!J90))</f>
        <v>0.1未満</v>
      </c>
      <c r="H90" s="70" t="str">
        <f>IF(cnt_日下部!$BE$5=0,"",IF(演算タグ!L90&lt;0.1,"0.1未満",演算タグ!L90))</f>
        <v>0.1未満</v>
      </c>
      <c r="I90" s="70" t="str">
        <f>IF(cnt_旭高原!$BE$5=0,"",IF(演算タグ!N90&lt;0.1,"0.1未満",演算タグ!N90))</f>
        <v>0.1未満</v>
      </c>
      <c r="J90" s="69"/>
      <c r="K90" s="70"/>
      <c r="L90" s="66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2"/>
    </row>
    <row r="91" spans="1:30" ht="11.1" customHeight="1">
      <c r="A91" s="87">
        <v>22</v>
      </c>
      <c r="B91" s="124" t="s">
        <v>103</v>
      </c>
      <c r="C91" s="103" t="s">
        <v>90</v>
      </c>
      <c r="D91" s="70">
        <f>IF(cnt_新時瀬!$BF$5=0,"",演算タグ!D91)</f>
        <v>7.2</v>
      </c>
      <c r="E91" s="70">
        <f>IF(cnt_小渡!$BF$5=0,"",演算タグ!F91)</f>
        <v>7.2</v>
      </c>
      <c r="F91" s="70">
        <f>IF(cnt_万町!$BF$5=0,"",演算タグ!H91)</f>
        <v>7.6</v>
      </c>
      <c r="G91" s="70">
        <f>IF(cnt_ぬくもり!$BF$5=0,"",演算タグ!J91)</f>
        <v>7.8</v>
      </c>
      <c r="H91" s="70">
        <f>IF(cnt_日下部!$BF$5=0,"",演算タグ!L91)</f>
        <v>6.7</v>
      </c>
      <c r="I91" s="70">
        <f>IF(cnt_旭高原!$BF$5=0,"",演算タグ!N91)</f>
        <v>7</v>
      </c>
      <c r="J91" s="69"/>
      <c r="K91" s="70"/>
      <c r="L91" s="66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2"/>
    </row>
    <row r="92" spans="1:30" ht="11.1" customHeight="1">
      <c r="A92" s="87">
        <v>23</v>
      </c>
      <c r="B92" s="124" t="s">
        <v>175</v>
      </c>
      <c r="C92" s="103" t="s">
        <v>90</v>
      </c>
      <c r="D92" s="70" t="str">
        <f>IF(cnt_新時瀬!$BO$5=0,"",演算タグ!D92)</f>
        <v/>
      </c>
      <c r="E92" s="70" t="str">
        <f>IF(cnt_小渡!$BO$5=0,"",演算タグ!F92)</f>
        <v/>
      </c>
      <c r="F92" s="70" t="str">
        <f>IF(cnt_万町!$BO$5=0,"",演算タグ!H92)</f>
        <v/>
      </c>
      <c r="G92" s="70" t="str">
        <f>IF(cnt_ぬくもり!$BO$5=0,"",演算タグ!J92)</f>
        <v/>
      </c>
      <c r="H92" s="70" t="str">
        <f>IF(cnt_日下部!$BO$5=0,"",演算タグ!L92)</f>
        <v/>
      </c>
      <c r="I92" s="70" t="str">
        <f>IF(cnt_旭高原!$BO$5=0,"",演算タグ!N92)</f>
        <v/>
      </c>
      <c r="J92" s="69"/>
      <c r="K92" s="70"/>
      <c r="L92" s="66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2"/>
    </row>
    <row r="93" spans="1:30" ht="11.1" customHeight="1">
      <c r="A93" s="87">
        <v>24</v>
      </c>
      <c r="B93" s="128" t="s">
        <v>58</v>
      </c>
      <c r="C93" s="129" t="s">
        <v>92</v>
      </c>
      <c r="D93" s="68" t="str">
        <f>IF(cnt_新時瀬!$BS$5=0,"",演算タグ!D93)</f>
        <v/>
      </c>
      <c r="E93" s="68" t="str">
        <f>IF(cnt_小渡!$BS$5=0,"",演算タグ!F93)</f>
        <v/>
      </c>
      <c r="F93" s="68" t="str">
        <f>IF(cnt_万町!$BS$5=0,"",演算タグ!H93)</f>
        <v/>
      </c>
      <c r="G93" s="68" t="str">
        <f>IF(cnt_ぬくもり!$BS$5=0,"",演算タグ!J93)</f>
        <v/>
      </c>
      <c r="H93" s="68" t="str">
        <f>IF(cnt_日下部!$BS$5=0,"",演算タグ!L93)</f>
        <v/>
      </c>
      <c r="I93" s="68" t="str">
        <f>IF(cnt_旭高原!$BS$5=0,"",演算タグ!N93)</f>
        <v/>
      </c>
      <c r="J93" s="66"/>
      <c r="K93" s="68"/>
      <c r="L93" s="66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2"/>
    </row>
    <row r="94" spans="1:30" ht="11.1" customHeight="1">
      <c r="A94" s="87">
        <v>25</v>
      </c>
      <c r="B94" s="124" t="s">
        <v>104</v>
      </c>
      <c r="C94" s="90" t="s">
        <v>78</v>
      </c>
      <c r="D94" s="96" t="str">
        <f>IF(cnt_新時瀬!$AQ$5=0,"",IF(演算タグ!D94&lt;0.001,"0.001未満",演算タグ!D94))</f>
        <v/>
      </c>
      <c r="E94" s="96" t="str">
        <f>IF(cnt_小渡!$AQ$5=0,"",IF(演算タグ!F94&lt;0.001,"0.001未満",演算タグ!F94))</f>
        <v/>
      </c>
      <c r="F94" s="96" t="str">
        <f>IF(cnt_万町!$AQ$5=0,"",IF(演算タグ!H94&lt;0.001,"0.001未満",演算タグ!H94))</f>
        <v/>
      </c>
      <c r="G94" s="96" t="str">
        <f>IF(cnt_ぬくもり!$AQ$5=0,"",IF(演算タグ!J94&lt;0.001,"0.001未満",演算タグ!J94))</f>
        <v/>
      </c>
      <c r="H94" s="96" t="str">
        <f>IF(cnt_日下部!$AQ$5=0,"",IF(演算タグ!L94&lt;0.001,"0.001未満",演算タグ!L94))</f>
        <v/>
      </c>
      <c r="I94" s="96" t="str">
        <f>IF(cnt_旭高原!$AQ$5=0,"",IF(演算タグ!N94&lt;0.001,"0.001未満",演算タグ!N94))</f>
        <v/>
      </c>
      <c r="J94" s="95"/>
      <c r="K94" s="96"/>
      <c r="L94" s="66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2"/>
    </row>
    <row r="95" spans="1:30" ht="11.1" customHeight="1">
      <c r="A95" s="87">
        <v>26</v>
      </c>
      <c r="B95" s="158" t="s">
        <v>68</v>
      </c>
      <c r="C95" s="90" t="s">
        <v>78</v>
      </c>
      <c r="D95" s="98" t="str">
        <f>IF(cnt_新時瀬!$K$5=0,"",IF(演算タグ!E95&lt;0.01,"0.01未満",演算タグ!E95))</f>
        <v/>
      </c>
      <c r="E95" s="98" t="str">
        <f>IF(cnt_小渡!$K$5=0,"",IF(演算タグ!G95&lt;0.01,"0.01未満",演算タグ!G95))</f>
        <v/>
      </c>
      <c r="F95" s="98" t="str">
        <f>IF(cnt_万町!$K$5=0,"",IF(演算タグ!I95&lt;0.01,"0.01未満",演算タグ!I95))</f>
        <v/>
      </c>
      <c r="G95" s="98" t="str">
        <f>IF(cnt_ぬくもり!$K$5=0,"",IF(演算タグ!K95&lt;0.01,"0.01未満",演算タグ!K95))</f>
        <v/>
      </c>
      <c r="H95" s="98" t="str">
        <f>IF(cnt_日下部!$K$5=0,"",IF(演算タグ!M95&lt;0.01,"0.01未満",演算タグ!M95))</f>
        <v/>
      </c>
      <c r="I95" s="98" t="str">
        <f>IF(cnt_旭高原!$K$5=0,"",IF(演算タグ!O95&lt;0.01,"0.01未満",演算タグ!O95))</f>
        <v/>
      </c>
      <c r="J95" s="97"/>
      <c r="K95" s="98"/>
      <c r="L95" s="66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2"/>
    </row>
    <row r="96" spans="1:30" ht="11.1" customHeight="1" thickBot="1">
      <c r="A96" s="132">
        <v>27</v>
      </c>
      <c r="B96" s="133" t="s">
        <v>176</v>
      </c>
      <c r="C96" s="107" t="s">
        <v>368</v>
      </c>
      <c r="D96" s="173" t="str">
        <f>IF(cnt_新時瀬!$BR$5=0,"",IF(演算タグ!E96&lt;0.000005,"0.000005未満",演算タグ!E96))</f>
        <v/>
      </c>
      <c r="E96" s="173" t="str">
        <f>IF(cnt_小渡!$BR$5=0,"",IF(演算タグ!G96&lt;0.000005,"0.000005未満",演算タグ!G96))</f>
        <v/>
      </c>
      <c r="F96" s="173" t="str">
        <f>IF(cnt_万町!$BR$5=0,"",IF(演算タグ!I96&lt;0.000005,"0.000005未満",演算タグ!I96))</f>
        <v/>
      </c>
      <c r="G96" s="173" t="str">
        <f>IF(cnt_ぬくもり!$BR$5=0,"",IF(演算タグ!K96&lt;0.000005,"0.000005未満",演算タグ!K96))</f>
        <v/>
      </c>
      <c r="H96" s="173" t="str">
        <f>IF(cnt_日下部!$BR$5=0,"",IF(演算タグ!M96&lt;0.000005,"0.000005未満",演算タグ!M96))</f>
        <v/>
      </c>
      <c r="I96" s="173" t="str">
        <f>IF(cnt_旭高原!$BR$5=0,"",IF(演算タグ!O96&lt;0.000005,"0.000005未満",演算タグ!O96))</f>
        <v/>
      </c>
      <c r="J96" s="174"/>
      <c r="K96" s="173"/>
      <c r="L96" s="101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75"/>
      <c r="AD96" s="176"/>
    </row>
    <row r="97" spans="1:30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66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2"/>
    </row>
    <row r="98" spans="1:30" ht="11.1" customHeight="1">
      <c r="A98" s="82">
        <v>1</v>
      </c>
      <c r="B98" s="137" t="s">
        <v>178</v>
      </c>
      <c r="C98" s="159" t="s">
        <v>60</v>
      </c>
      <c r="D98" s="140" t="str">
        <f>IF(cnt_新時瀬!$BL$5=0,"",演算タグ!D98)</f>
        <v/>
      </c>
      <c r="E98" s="140" t="str">
        <f>IF(cnt_小渡!$BL$5=0,"",演算タグ!F98)</f>
        <v/>
      </c>
      <c r="F98" s="140" t="str">
        <f>IF(cnt_万町!$BL$5=0,"",演算タグ!H98)</f>
        <v/>
      </c>
      <c r="G98" s="140" t="str">
        <f>IF(cnt_ぬくもり!$BL$5=0,"",演算タグ!J98)</f>
        <v/>
      </c>
      <c r="H98" s="140" t="str">
        <f>IF(cnt_日下部!$BL$5=0,"",演算タグ!L98)</f>
        <v/>
      </c>
      <c r="I98" s="140" t="str">
        <f>IF(cnt_旭高原!$BL$5=0,"",演算タグ!N98)</f>
        <v/>
      </c>
      <c r="J98" s="139"/>
      <c r="K98" s="140"/>
      <c r="L98" s="66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71"/>
      <c r="AD98" s="72"/>
    </row>
    <row r="99" spans="1:30" ht="11.1" customHeight="1">
      <c r="A99" s="87">
        <v>2</v>
      </c>
      <c r="B99" s="141" t="s">
        <v>179</v>
      </c>
      <c r="C99" s="160" t="s">
        <v>60</v>
      </c>
      <c r="D99" s="70" t="str">
        <f>IF(cnt_新時瀬!$BN$5=0,"",演算タグ!D99)</f>
        <v/>
      </c>
      <c r="E99" s="70" t="str">
        <f>IF(cnt_小渡!$BN$5=0,"",演算タグ!F99)</f>
        <v/>
      </c>
      <c r="F99" s="70" t="str">
        <f>IF(cnt_万町!$BN$5=0,"",演算タグ!H99)</f>
        <v/>
      </c>
      <c r="G99" s="70" t="str">
        <f>IF(cnt_ぬくもり!$BN$5=0,"",演算タグ!J99)</f>
        <v/>
      </c>
      <c r="H99" s="70" t="str">
        <f>IF(cnt_日下部!$BN$5=0,"",演算タグ!L99)</f>
        <v/>
      </c>
      <c r="I99" s="70" t="str">
        <f>IF(cnt_旭高原!$BN$5=0,"",演算タグ!N99)</f>
        <v/>
      </c>
      <c r="J99" s="69"/>
      <c r="K99" s="70"/>
      <c r="L99" s="66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71"/>
      <c r="AD99" s="72"/>
    </row>
    <row r="100" spans="1:30" ht="11.1" customHeight="1">
      <c r="A100" s="87">
        <v>3</v>
      </c>
      <c r="B100" s="141" t="s">
        <v>59</v>
      </c>
      <c r="C100" s="160" t="s">
        <v>370</v>
      </c>
      <c r="D100" s="70">
        <f>IF(cnt_新時瀬!$CA$5=0,"",演算タグ!D100)</f>
        <v>6.8</v>
      </c>
      <c r="E100" s="70">
        <f>IF(cnt_小渡!$CA$5=0,"",演算タグ!F100)</f>
        <v>6.8</v>
      </c>
      <c r="F100" s="70">
        <f>IF(cnt_万町!$CA$5=0,"",演算タグ!H100)</f>
        <v>9.5</v>
      </c>
      <c r="G100" s="70">
        <f>IF(cnt_ぬくもり!$CA$5=0,"",演算タグ!J100)</f>
        <v>9.6999999999999993</v>
      </c>
      <c r="H100" s="70">
        <f>IF(cnt_日下部!$CA$5=0,"",演算タグ!L100)</f>
        <v>4.8</v>
      </c>
      <c r="I100" s="70">
        <f>IF(cnt_旭高原!$CA$5=0,"",演算タグ!N100)</f>
        <v>4.9000000000000004</v>
      </c>
      <c r="J100" s="69"/>
      <c r="K100" s="70"/>
      <c r="L100" s="66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71"/>
      <c r="AD100" s="72"/>
    </row>
    <row r="101" spans="1:30" ht="11.1" customHeight="1">
      <c r="A101" s="87">
        <v>4</v>
      </c>
      <c r="B101" s="141" t="s">
        <v>219</v>
      </c>
      <c r="C101" s="160" t="s">
        <v>368</v>
      </c>
      <c r="D101" s="98">
        <f>IF(cnt_新時瀬!$BV$5=0,"",IF(演算タグ!D101&lt;0.02,"0.02未満",演算タグ!D101))</f>
        <v>0.51</v>
      </c>
      <c r="E101" s="98">
        <f>IF(cnt_小渡!$BV$5=0,"",IF(演算タグ!F101&lt;0.02,"0.02未満",演算タグ!F101))</f>
        <v>0.52</v>
      </c>
      <c r="F101" s="98">
        <f>IF(cnt_万町!$BV$5=0,"",IF(演算タグ!H101&lt;0.02,"0.02未満",演算タグ!H101))</f>
        <v>0.45</v>
      </c>
      <c r="G101" s="98">
        <f>IF(cnt_ぬくもり!$BV$5=0,"",IF(演算タグ!J101&lt;0.02,"0.02未満",演算タグ!J101))</f>
        <v>0.46</v>
      </c>
      <c r="H101" s="98">
        <f>IF(cnt_日下部!$BV$5=0,"",IF(演算タグ!L101&lt;0.02,"0.02未満",演算タグ!L101))</f>
        <v>0.2</v>
      </c>
      <c r="I101" s="98">
        <f>IF(cnt_旭高原!$BV$5=0,"",IF(演算タグ!N101&lt;0.02,"0.02未満",演算タグ!N101))</f>
        <v>0.21</v>
      </c>
      <c r="J101" s="97"/>
      <c r="K101" s="98"/>
      <c r="L101" s="66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71"/>
      <c r="AD101" s="72"/>
    </row>
    <row r="102" spans="1:30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6"/>
      <c r="K102" s="68"/>
      <c r="L102" s="66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2"/>
    </row>
    <row r="103" spans="1:30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6"/>
      <c r="K103" s="68"/>
      <c r="L103" s="66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2"/>
    </row>
    <row r="104" spans="1:30" ht="11.1" customHeight="1">
      <c r="A104" s="87">
        <v>7</v>
      </c>
      <c r="B104" s="146" t="s">
        <v>70</v>
      </c>
      <c r="C104" s="127" t="s">
        <v>60</v>
      </c>
      <c r="D104" s="68" t="str">
        <f>IF(OR(cnt_新時瀬!$BT$5=0,cnt_新時瀬!$BT$5=""),"",IF(演算タグ!D104=1,"検出","不検出"))</f>
        <v/>
      </c>
      <c r="E104" s="68" t="str">
        <f>IF(OR(cnt_小渡!$BT$5=0,cnt_小渡!$BT$5=""),"",IF(演算タグ!F104=1,"検出","不検出"))</f>
        <v/>
      </c>
      <c r="F104" s="68" t="str">
        <f>IF(OR(cnt_万町!$BT$5=0,cnt_万町!$BT$5=""),"",IF(演算タグ!H104=1,"検出","不検出"))</f>
        <v/>
      </c>
      <c r="G104" s="68" t="str">
        <f>IF(OR(cnt_ぬくもり!$BT$5=0,cnt_ぬくもり!$BT$5=""),"",IF(演算タグ!J104=1,"検出","不検出"))</f>
        <v/>
      </c>
      <c r="H104" s="68" t="str">
        <f>IF(OR(cnt_日下部!$BT$5=0,cnt_日下部!$BT$5=""),"",IF(演算タグ!L104=1,"検出","不検出"))</f>
        <v/>
      </c>
      <c r="I104" s="68" t="str">
        <f>IF(OR(cnt_旭高原!$BT$5=0,cnt_旭高原!$BT$5=""),"",IF(演算タグ!N104=1,"検出","不検出"))</f>
        <v/>
      </c>
      <c r="J104" s="66"/>
      <c r="K104" s="68"/>
      <c r="L104" s="66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2"/>
    </row>
    <row r="105" spans="1:30" ht="11.1" customHeight="1" thickBot="1">
      <c r="A105" s="105">
        <v>8</v>
      </c>
      <c r="B105" s="147" t="s">
        <v>71</v>
      </c>
      <c r="C105" s="148" t="s">
        <v>60</v>
      </c>
      <c r="D105" s="110" t="str">
        <f>IF(OR(cnt_新時瀬!$BU$5=0,cnt_新時瀬!$BU$5=""),"",IF(演算タグ!D105=1,"検出","不検出"))</f>
        <v/>
      </c>
      <c r="E105" s="110" t="str">
        <f>IF(OR(cnt_小渡!$BU$5=0,cnt_小渡!$BU$5=""),"",IF(演算タグ!F105=1,"検出","不検出"))</f>
        <v/>
      </c>
      <c r="F105" s="110" t="str">
        <f>IF(OR(cnt_万町!$BU$5=0,cnt_万町!$BU$5=""),"",IF(演算タグ!H105=1,"検出","不検出"))</f>
        <v/>
      </c>
      <c r="G105" s="110" t="str">
        <f>IF(OR(cnt_ぬくもり!$BU$5=0,cnt_ぬくもり!$BU$5=""),"",IF(演算タグ!J105=1,"検出","不検出"))</f>
        <v/>
      </c>
      <c r="H105" s="110" t="str">
        <f>IF(OR(cnt_日下部!$BU$5=0,cnt_日下部!$BU$5=""),"",IF(演算タグ!L105=1,"検出","不検出"))</f>
        <v/>
      </c>
      <c r="I105" s="110" t="str">
        <f>IF(OR(cnt_旭高原!$BU$5=0,cnt_旭高原!$BU$5=""),"",IF(演算タグ!N105=1,"検出","不検出"))</f>
        <v/>
      </c>
      <c r="J105" s="149"/>
      <c r="K105" s="110"/>
      <c r="L105" s="66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2"/>
    </row>
    <row r="106" spans="1:30" ht="11.1" customHeight="1"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30" ht="11.1" customHeight="1"/>
    <row r="108" spans="1:30" ht="11.1" customHeight="1"/>
    <row r="109" spans="1:30" ht="11.1" customHeight="1"/>
    <row r="110" spans="1:30" ht="11.1" customHeight="1"/>
    <row r="111" spans="1:30" ht="11.1" customHeight="1"/>
    <row r="112" spans="1:30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0" ht="11.1" customHeight="1" thickBot="1"/>
    <row r="130" spans="1:30" ht="11.1" customHeight="1" thickTop="1">
      <c r="A130" s="180">
        <f>EDATE(演算タグ!B1,-3)</f>
        <v>45748</v>
      </c>
      <c r="B130" s="180"/>
      <c r="C130" s="181">
        <f>演算タグ!B1</f>
        <v>45839</v>
      </c>
      <c r="D130" s="181"/>
      <c r="E130" s="150"/>
      <c r="F130" s="113"/>
      <c r="G130" s="113"/>
      <c r="H130" s="113"/>
      <c r="I130" s="113"/>
      <c r="J130" s="113"/>
      <c r="K130" s="113"/>
      <c r="L130" s="114"/>
      <c r="M130" s="66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115"/>
      <c r="AD130" s="66"/>
    </row>
  </sheetData>
  <mergeCells count="22">
    <mergeCell ref="K4:K5"/>
    <mergeCell ref="J6:J7"/>
    <mergeCell ref="K6:K7"/>
    <mergeCell ref="E6:E7"/>
    <mergeCell ref="I4:I5"/>
    <mergeCell ref="H4:H5"/>
    <mergeCell ref="G4:G5"/>
    <mergeCell ref="F4:F5"/>
    <mergeCell ref="E4:E5"/>
    <mergeCell ref="A130:B130"/>
    <mergeCell ref="C130:D130"/>
    <mergeCell ref="J4:J5"/>
    <mergeCell ref="A2:B2"/>
    <mergeCell ref="C2:D2"/>
    <mergeCell ref="A68:B68"/>
    <mergeCell ref="C68:D68"/>
    <mergeCell ref="D4:D5"/>
    <mergeCell ref="I6:I7"/>
    <mergeCell ref="H6:H7"/>
    <mergeCell ref="G6:G7"/>
    <mergeCell ref="F6:F7"/>
    <mergeCell ref="D6:D7"/>
  </mergeCells>
  <phoneticPr fontId="2"/>
  <conditionalFormatting sqref="D20:K22 D25:K25 D30:K30 D32:K35 D38:K38 D40:K42 D44:K44">
    <cfRule type="containsText" dxfId="119" priority="1325" operator="containsText" text="0.001未満">
      <formula>NOT(ISERROR(SEARCH("0.001未満",D20)))</formula>
    </cfRule>
  </conditionalFormatting>
  <conditionalFormatting sqref="D16:I105">
    <cfRule type="containsBlanks" dxfId="118" priority="570">
      <formula>LEN(TRIM(D16))=0</formula>
    </cfRule>
    <cfRule type="endsWith" dxfId="117" priority="571" operator="endsWith" text="未満">
      <formula>RIGHT(D16,LEN("未満"))="未満"</formula>
    </cfRule>
  </conditionalFormatting>
  <conditionalFormatting sqref="D63:I63">
    <cfRule type="containsText" dxfId="116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15" priority="1329" operator="notContains" text="異常なし">
      <formula>ISERROR(SEARCH("異常なし",D64))</formula>
    </cfRule>
  </conditionalFormatting>
  <conditionalFormatting sqref="D17:K17">
    <cfRule type="beginsWith" dxfId="114" priority="580" operator="beginsWith" text="検出">
      <formula>LEFT(D17,LEN("検出"))="検出"</formula>
    </cfRule>
  </conditionalFormatting>
  <conditionalFormatting sqref="D104:K105">
    <cfRule type="beginsWith" dxfId="113" priority="578" operator="beginsWith" text="検出">
      <formula>LEFT(D104,LEN("検出"))="検出"</formula>
    </cfRule>
  </conditionalFormatting>
  <conditionalFormatting sqref="D18:K18">
    <cfRule type="containsText" dxfId="112" priority="188" operator="containsText" text="0.0003未満">
      <formula>NOT(ISERROR(SEARCH("0.0003未満",D18)))</formula>
    </cfRule>
  </conditionalFormatting>
  <conditionalFormatting sqref="D19:K19">
    <cfRule type="containsText" dxfId="111" priority="45" operator="containsText" text="0.00005未満">
      <formula>NOT(ISERROR(SEARCH("0.00005未満",D19)))</formula>
    </cfRule>
  </conditionalFormatting>
  <conditionalFormatting sqref="D23:K23">
    <cfRule type="containsText" dxfId="110" priority="42" operator="containsText" text="0.005未満">
      <formula>NOT(ISERROR(SEARCH("0.005未満",D23)))</formula>
    </cfRule>
  </conditionalFormatting>
  <conditionalFormatting sqref="D24:K24 D31:K31">
    <cfRule type="containsText" dxfId="109" priority="41" operator="containsText" text="0.004未満">
      <formula>NOT(ISERROR(SEARCH("0.004未満",D24)))</formula>
    </cfRule>
  </conditionalFormatting>
  <conditionalFormatting sqref="D26:K26">
    <cfRule type="containsText" dxfId="108" priority="39" operator="containsText" text="0.02未満">
      <formula>NOT(ISERROR(SEARCH("0.02未満",D26)))</formula>
    </cfRule>
  </conditionalFormatting>
  <conditionalFormatting sqref="D27:K27 D36:K36">
    <cfRule type="containsText" dxfId="107" priority="38" operator="containsText" text="0.05未満">
      <formula>NOT(ISERROR(SEARCH("0.05未満",D27)))</formula>
    </cfRule>
  </conditionalFormatting>
  <conditionalFormatting sqref="D28:K28">
    <cfRule type="containsText" dxfId="106" priority="37" operator="containsText" text="0.01未満">
      <formula>NOT(ISERROR(SEARCH("0.01未満",D28)))</formula>
    </cfRule>
  </conditionalFormatting>
  <conditionalFormatting sqref="D29:K29">
    <cfRule type="containsText" dxfId="105" priority="36" operator="containsText" text="0.0002未満">
      <formula>NOT(ISERROR(SEARCH("0.0002未満",D29)))</formula>
    </cfRule>
  </conditionalFormatting>
  <conditionalFormatting sqref="D37:K37 D39:K39 D43:K43">
    <cfRule type="containsText" dxfId="104" priority="28" operator="containsText" text="0.002未満">
      <formula>NOT(ISERROR(SEARCH("0.002未満",D37)))</formula>
    </cfRule>
  </conditionalFormatting>
  <conditionalFormatting sqref="G21:I21">
    <cfRule type="containsText" dxfId="103" priority="7" operator="containsText" text="0.001未満">
      <formula>NOT(ISERROR(SEARCH("0.001未満",G21)))</formula>
    </cfRule>
  </conditionalFormatting>
  <conditionalFormatting sqref="D21:K21">
    <cfRule type="cellIs" dxfId="102" priority="1945" operator="greaterThan">
      <formula>#REF!</formula>
    </cfRule>
    <cfRule type="cellIs" dxfId="101" priority="1946" operator="greaterThan">
      <formula>#REF!</formula>
    </cfRule>
  </conditionalFormatting>
  <conditionalFormatting sqref="D62:K62">
    <cfRule type="cellIs" dxfId="100" priority="1947" operator="notBetween">
      <formula>#REF!</formula>
      <formula>#REF!</formula>
    </cfRule>
    <cfRule type="cellIs" dxfId="99" priority="1948" operator="greaterThan">
      <formula>#REF!</formula>
    </cfRule>
  </conditionalFormatting>
  <conditionalFormatting sqref="D72:I72 D78:I79">
    <cfRule type="cellIs" dxfId="98" priority="1949" operator="greaterThan">
      <formula>#REF!</formula>
    </cfRule>
  </conditionalFormatting>
  <conditionalFormatting sqref="D82:I82">
    <cfRule type="cellIs" dxfId="97" priority="1950" operator="notBetween">
      <formula>#REF!</formula>
      <formula>#REF!</formula>
    </cfRule>
  </conditionalFormatting>
  <conditionalFormatting sqref="D89:I89">
    <cfRule type="cellIs" dxfId="96" priority="1951" operator="notBetween">
      <formula>#REF!</formula>
      <formula>#REF!</formula>
    </cfRule>
  </conditionalFormatting>
  <conditionalFormatting sqref="D90:I95 D78:I81 D83:I88 D70:I75">
    <cfRule type="cellIs" dxfId="95" priority="1952" operator="greaterThan">
      <formula>#REF!</formula>
    </cfRule>
  </conditionalFormatting>
  <conditionalFormatting sqref="D96:I96">
    <cfRule type="cellIs" dxfId="94" priority="1953" operator="greaterThan">
      <formula>#REF!</formula>
    </cfRule>
  </conditionalFormatting>
  <conditionalFormatting sqref="D16:K16">
    <cfRule type="cellIs" dxfId="93" priority="1954" operator="greaterThan">
      <formula>#REF!</formula>
    </cfRule>
    <cfRule type="cellIs" dxfId="92" priority="1955" operator="greaterThan">
      <formula>#REF!</formula>
    </cfRule>
  </conditionalFormatting>
  <conditionalFormatting sqref="D18:K18">
    <cfRule type="cellIs" dxfId="91" priority="1956" operator="greaterThan">
      <formula>#REF!</formula>
    </cfRule>
    <cfRule type="cellIs" dxfId="90" priority="1957" operator="greaterThan">
      <formula>#REF!</formula>
    </cfRule>
  </conditionalFormatting>
  <conditionalFormatting sqref="D19:K19">
    <cfRule type="cellIs" dxfId="89" priority="1958" operator="greaterThan">
      <formula>#REF!</formula>
    </cfRule>
    <cfRule type="cellIs" dxfId="88" priority="1959" operator="greaterThan">
      <formula>#REF!</formula>
    </cfRule>
  </conditionalFormatting>
  <conditionalFormatting sqref="D20:K20">
    <cfRule type="cellIs" dxfId="87" priority="1960" operator="greaterThan">
      <formula>#REF!</formula>
    </cfRule>
    <cfRule type="cellIs" dxfId="86" priority="1961" operator="greaterThan">
      <formula>#REF!</formula>
    </cfRule>
  </conditionalFormatting>
  <conditionalFormatting sqref="D22:K22">
    <cfRule type="cellIs" dxfId="85" priority="1962" operator="greaterThan">
      <formula>#REF!</formula>
    </cfRule>
    <cfRule type="cellIs" dxfId="84" priority="1963" operator="greaterThan">
      <formula>#REF!</formula>
    </cfRule>
  </conditionalFormatting>
  <conditionalFormatting sqref="D23:K23">
    <cfRule type="cellIs" dxfId="83" priority="1964" operator="greaterThan">
      <formula>#REF!</formula>
    </cfRule>
    <cfRule type="cellIs" dxfId="82" priority="1965" operator="greaterThan">
      <formula>#REF!</formula>
    </cfRule>
  </conditionalFormatting>
  <conditionalFormatting sqref="D24:K24">
    <cfRule type="cellIs" dxfId="81" priority="1966" operator="greaterThan">
      <formula>#REF!</formula>
    </cfRule>
    <cfRule type="cellIs" dxfId="80" priority="1967" operator="greaterThan">
      <formula>#REF!</formula>
    </cfRule>
  </conditionalFormatting>
  <conditionalFormatting sqref="D25:K25">
    <cfRule type="cellIs" dxfId="79" priority="1968" operator="greaterThan">
      <formula>#REF!</formula>
    </cfRule>
    <cfRule type="cellIs" dxfId="78" priority="1969" operator="greaterThan">
      <formula>#REF!</formula>
    </cfRule>
  </conditionalFormatting>
  <conditionalFormatting sqref="D26:K26">
    <cfRule type="cellIs" dxfId="77" priority="1970" operator="greaterThan">
      <formula>#REF!</formula>
    </cfRule>
    <cfRule type="cellIs" dxfId="76" priority="1971" operator="greaterThan">
      <formula>#REF!</formula>
    </cfRule>
  </conditionalFormatting>
  <conditionalFormatting sqref="D27:K27">
    <cfRule type="cellIs" dxfId="75" priority="1972" operator="greaterThan">
      <formula>#REF!</formula>
    </cfRule>
    <cfRule type="cellIs" dxfId="74" priority="1973" operator="greaterThan">
      <formula>#REF!</formula>
    </cfRule>
  </conditionalFormatting>
  <conditionalFormatting sqref="D28:K28">
    <cfRule type="cellIs" dxfId="73" priority="1974" operator="greaterThan">
      <formula>#REF!</formula>
    </cfRule>
    <cfRule type="cellIs" dxfId="72" priority="1975" operator="greaterThan">
      <formula>#REF!</formula>
    </cfRule>
  </conditionalFormatting>
  <conditionalFormatting sqref="D29:K29">
    <cfRule type="cellIs" dxfId="71" priority="1976" operator="greaterThan">
      <formula>#REF!</formula>
    </cfRule>
    <cfRule type="cellIs" dxfId="70" priority="1977" operator="greaterThan">
      <formula>#REF!</formula>
    </cfRule>
  </conditionalFormatting>
  <conditionalFormatting sqref="D30:K30">
    <cfRule type="cellIs" dxfId="69" priority="1978" operator="greaterThan">
      <formula>#REF!</formula>
    </cfRule>
    <cfRule type="cellIs" dxfId="68" priority="1979" operator="greaterThan">
      <formula>#REF!</formula>
    </cfRule>
  </conditionalFormatting>
  <conditionalFormatting sqref="D31:K31">
    <cfRule type="cellIs" dxfId="67" priority="1980" operator="greaterThan">
      <formula>#REF!</formula>
    </cfRule>
    <cfRule type="cellIs" dxfId="66" priority="1981" operator="greaterThan">
      <formula>#REF!</formula>
    </cfRule>
  </conditionalFormatting>
  <conditionalFormatting sqref="D32:K32">
    <cfRule type="cellIs" dxfId="65" priority="1982" operator="greaterThan">
      <formula>#REF!</formula>
    </cfRule>
    <cfRule type="cellIs" dxfId="64" priority="1983" operator="greaterThan">
      <formula>#REF!</formula>
    </cfRule>
  </conditionalFormatting>
  <conditionalFormatting sqref="D33:K33">
    <cfRule type="cellIs" dxfId="63" priority="1984" operator="greaterThan">
      <formula>#REF!</formula>
    </cfRule>
    <cfRule type="cellIs" dxfId="62" priority="1985" operator="greaterThan">
      <formula>#REF!</formula>
    </cfRule>
  </conditionalFormatting>
  <conditionalFormatting sqref="D34:K34">
    <cfRule type="cellIs" dxfId="61" priority="1986" operator="greaterThan">
      <formula>#REF!</formula>
    </cfRule>
    <cfRule type="cellIs" dxfId="60" priority="1987" operator="greaterThan">
      <formula>#REF!</formula>
    </cfRule>
  </conditionalFormatting>
  <conditionalFormatting sqref="D35:K35">
    <cfRule type="cellIs" dxfId="59" priority="1988" operator="greaterThan">
      <formula>#REF!</formula>
    </cfRule>
    <cfRule type="cellIs" dxfId="58" priority="1989" operator="greaterThan">
      <formula>#REF!</formula>
    </cfRule>
  </conditionalFormatting>
  <conditionalFormatting sqref="D36:K36">
    <cfRule type="cellIs" dxfId="57" priority="1990" operator="greaterThan">
      <formula>#REF!</formula>
    </cfRule>
    <cfRule type="cellIs" dxfId="56" priority="1991" operator="greaterThan">
      <formula>#REF!</formula>
    </cfRule>
  </conditionalFormatting>
  <conditionalFormatting sqref="D37:K37">
    <cfRule type="cellIs" dxfId="55" priority="1992" operator="greaterThan">
      <formula>#REF!</formula>
    </cfRule>
    <cfRule type="cellIs" dxfId="54" priority="1993" operator="greaterThan">
      <formula>#REF!</formula>
    </cfRule>
  </conditionalFormatting>
  <conditionalFormatting sqref="D38:K38">
    <cfRule type="cellIs" dxfId="53" priority="1994" operator="greaterThan">
      <formula>#REF!</formula>
    </cfRule>
    <cfRule type="cellIs" dxfId="52" priority="1995" operator="greaterThan">
      <formula>#REF!</formula>
    </cfRule>
  </conditionalFormatting>
  <conditionalFormatting sqref="D39:K39">
    <cfRule type="cellIs" dxfId="51" priority="1996" operator="greaterThan">
      <formula>#REF!</formula>
    </cfRule>
    <cfRule type="cellIs" dxfId="50" priority="1997" operator="greaterThan">
      <formula>#REF!</formula>
    </cfRule>
  </conditionalFormatting>
  <conditionalFormatting sqref="D40:K40">
    <cfRule type="cellIs" dxfId="49" priority="1998" operator="greaterThan">
      <formula>#REF!</formula>
    </cfRule>
    <cfRule type="cellIs" dxfId="48" priority="1999" operator="greaterThan">
      <formula>#REF!</formula>
    </cfRule>
  </conditionalFormatting>
  <conditionalFormatting sqref="D41:K41">
    <cfRule type="cellIs" dxfId="47" priority="2000" operator="greaterThan">
      <formula>#REF!</formula>
    </cfRule>
    <cfRule type="cellIs" dxfId="46" priority="2001" operator="greaterThan">
      <formula>#REF!</formula>
    </cfRule>
  </conditionalFormatting>
  <conditionalFormatting sqref="D42:K42">
    <cfRule type="cellIs" dxfId="45" priority="2002" operator="greaterThan">
      <formula>#REF!</formula>
    </cfRule>
    <cfRule type="cellIs" dxfId="44" priority="2003" operator="greaterThan">
      <formula>#REF!</formula>
    </cfRule>
  </conditionalFormatting>
  <conditionalFormatting sqref="D43:K43">
    <cfRule type="cellIs" dxfId="43" priority="2004" operator="greaterThan">
      <formula>#REF!</formula>
    </cfRule>
    <cfRule type="cellIs" dxfId="42" priority="2005" operator="greaterThan">
      <formula>#REF!</formula>
    </cfRule>
  </conditionalFormatting>
  <conditionalFormatting sqref="D44:K44">
    <cfRule type="cellIs" dxfId="41" priority="2006" operator="greaterThan">
      <formula>#REF!</formula>
    </cfRule>
    <cfRule type="cellIs" dxfId="40" priority="2007" operator="greaterThan">
      <formula>#REF!</formula>
    </cfRule>
  </conditionalFormatting>
  <conditionalFormatting sqref="D45:K45">
    <cfRule type="cellIs" dxfId="39" priority="2008" operator="greaterThan">
      <formula>#REF!</formula>
    </cfRule>
    <cfRule type="cellIs" dxfId="38" priority="2009" operator="greaterThan">
      <formula>#REF!</formula>
    </cfRule>
  </conditionalFormatting>
  <conditionalFormatting sqref="D46:K46">
    <cfRule type="cellIs" dxfId="37" priority="2010" operator="greaterThan">
      <formula>#REF!</formula>
    </cfRule>
    <cfRule type="cellIs" dxfId="36" priority="2011" operator="greaterThan">
      <formula>#REF!</formula>
    </cfRule>
  </conditionalFormatting>
  <conditionalFormatting sqref="D47:K47">
    <cfRule type="cellIs" dxfId="35" priority="2012" operator="greaterThan">
      <formula>#REF!</formula>
    </cfRule>
    <cfRule type="cellIs" dxfId="34" priority="2013" operator="greaterThan">
      <formula>#REF!</formula>
    </cfRule>
  </conditionalFormatting>
  <conditionalFormatting sqref="D48:K48">
    <cfRule type="cellIs" dxfId="33" priority="2014" operator="greaterThan">
      <formula>#REF!</formula>
    </cfRule>
    <cfRule type="cellIs" dxfId="32" priority="2015" operator="greaterThan">
      <formula>#REF!</formula>
    </cfRule>
  </conditionalFormatting>
  <conditionalFormatting sqref="D49:K49">
    <cfRule type="cellIs" dxfId="31" priority="2016" operator="greaterThan">
      <formula>#REF!</formula>
    </cfRule>
    <cfRule type="cellIs" dxfId="30" priority="2017" operator="greaterThan">
      <formula>#REF!</formula>
    </cfRule>
  </conditionalFormatting>
  <conditionalFormatting sqref="D50:K50">
    <cfRule type="cellIs" dxfId="29" priority="2018" operator="greaterThan">
      <formula>#REF!</formula>
    </cfRule>
    <cfRule type="cellIs" dxfId="28" priority="2019" operator="greaterThan">
      <formula>#REF!</formula>
    </cfRule>
  </conditionalFormatting>
  <conditionalFormatting sqref="D51:K51">
    <cfRule type="cellIs" dxfId="27" priority="2020" operator="greaterThan">
      <formula>#REF!</formula>
    </cfRule>
    <cfRule type="cellIs" dxfId="26" priority="2021" operator="greaterThan">
      <formula>#REF!</formula>
    </cfRule>
  </conditionalFormatting>
  <conditionalFormatting sqref="D52:K52">
    <cfRule type="cellIs" dxfId="25" priority="2022" operator="greaterThan">
      <formula>#REF!</formula>
    </cfRule>
    <cfRule type="cellIs" dxfId="24" priority="2023" operator="greaterThan">
      <formula>#REF!</formula>
    </cfRule>
  </conditionalFormatting>
  <conditionalFormatting sqref="D53:K53">
    <cfRule type="cellIs" dxfId="23" priority="2024" operator="greaterThan">
      <formula>#REF!</formula>
    </cfRule>
    <cfRule type="cellIs" dxfId="22" priority="2025" operator="greaterThan">
      <formula>#REF!</formula>
    </cfRule>
  </conditionalFormatting>
  <conditionalFormatting sqref="D54:K54">
    <cfRule type="cellIs" dxfId="21" priority="2026" operator="greaterThan">
      <formula>#REF!</formula>
    </cfRule>
    <cfRule type="cellIs" dxfId="20" priority="2027" operator="greaterThan">
      <formula>#REF!</formula>
    </cfRule>
  </conditionalFormatting>
  <conditionalFormatting sqref="D55:K55">
    <cfRule type="cellIs" dxfId="19" priority="2028" operator="greaterThan">
      <formula>#REF!</formula>
    </cfRule>
    <cfRule type="cellIs" dxfId="18" priority="2029" operator="greaterThan">
      <formula>#REF!</formula>
    </cfRule>
  </conditionalFormatting>
  <conditionalFormatting sqref="D56:K56">
    <cfRule type="cellIs" dxfId="17" priority="2030" operator="greaterThan">
      <formula>#REF!</formula>
    </cfRule>
    <cfRule type="cellIs" dxfId="16" priority="2031" operator="greaterThan">
      <formula>#REF!</formula>
    </cfRule>
  </conditionalFormatting>
  <conditionalFormatting sqref="D57:K57">
    <cfRule type="cellIs" dxfId="15" priority="2032" operator="greaterThan">
      <formula>#REF!</formula>
    </cfRule>
    <cfRule type="cellIs" dxfId="14" priority="2033" operator="greaterThan">
      <formula>#REF!</formula>
    </cfRule>
  </conditionalFormatting>
  <conditionalFormatting sqref="D58:K58">
    <cfRule type="cellIs" dxfId="13" priority="2034" operator="greaterThan">
      <formula>#REF!</formula>
    </cfRule>
    <cfRule type="cellIs" dxfId="12" priority="2035" operator="greaterThan">
      <formula>#REF!</formula>
    </cfRule>
  </conditionalFormatting>
  <conditionalFormatting sqref="D59:K59">
    <cfRule type="cellIs" dxfId="11" priority="2036" operator="greaterThan">
      <formula>#REF!</formula>
    </cfRule>
    <cfRule type="cellIs" dxfId="10" priority="2037" operator="greaterThan">
      <formula>#REF!</formula>
    </cfRule>
  </conditionalFormatting>
  <conditionalFormatting sqref="D60:K60">
    <cfRule type="cellIs" dxfId="9" priority="2038" operator="greaterThan">
      <formula>#REF!</formula>
    </cfRule>
    <cfRule type="cellIs" dxfId="8" priority="2039" operator="greaterThan">
      <formula>#REF!</formula>
    </cfRule>
  </conditionalFormatting>
  <conditionalFormatting sqref="D61:K61">
    <cfRule type="cellIs" dxfId="7" priority="2040" operator="greaterThan">
      <formula>#REF!</formula>
    </cfRule>
    <cfRule type="cellIs" dxfId="6" priority="2041" operator="greaterThan">
      <formula>#REF!</formula>
    </cfRule>
  </conditionalFormatting>
  <conditionalFormatting sqref="D65:K65">
    <cfRule type="cellIs" dxfId="5" priority="2042" operator="greaterThan">
      <formula>#REF!</formula>
    </cfRule>
    <cfRule type="cellIs" dxfId="4" priority="2043" operator="greaterThan">
      <formula>#REF!</formula>
    </cfRule>
  </conditionalFormatting>
  <conditionalFormatting sqref="D66:K67">
    <cfRule type="cellIs" dxfId="3" priority="2044" operator="greaterThan">
      <formula>#REF!</formula>
    </cfRule>
    <cfRule type="cellIs" dxfId="2" priority="2045" operator="greaterThan">
      <formula>#REF!</formula>
    </cfRule>
  </conditionalFormatting>
  <conditionalFormatting sqref="J78:K79 J72:K72">
    <cfRule type="cellIs" dxfId="1" priority="2057" operator="greaterThan">
      <formula>#REF!</formula>
    </cfRule>
    <cfRule type="cellIs" dxfId="0" priority="205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32" t="s">
        <v>180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5" ht="18.600000000000001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5" t="s">
        <v>373</v>
      </c>
      <c r="AI3" s="171"/>
    </row>
    <row r="4" spans="1:35" ht="18.600000000000001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36"/>
      <c r="AI4" s="171"/>
    </row>
    <row r="5" spans="1:35" ht="18.600000000000001" thickBot="1">
      <c r="A5" t="s">
        <v>184</v>
      </c>
      <c r="B5">
        <v>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600000000000001" thickBot="1">
      <c r="A6" t="s">
        <v>185</v>
      </c>
      <c r="AH6" s="172">
        <f>INDEX(C41:AG41,MATCH(MAX(C41:AG41)+1,C41:AG41,1))</f>
        <v>1</v>
      </c>
      <c r="AI6" s="172">
        <f>AH6*1</f>
        <v>1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384</v>
      </c>
      <c r="D34" t="s">
        <v>385</v>
      </c>
      <c r="E34" t="s">
        <v>386</v>
      </c>
      <c r="F34" t="s">
        <v>385</v>
      </c>
      <c r="G34" t="s">
        <v>387</v>
      </c>
      <c r="H34" t="s">
        <v>387</v>
      </c>
      <c r="I34" t="s">
        <v>388</v>
      </c>
      <c r="J34" t="s">
        <v>385</v>
      </c>
      <c r="K34" t="s">
        <v>384</v>
      </c>
      <c r="L34" t="s">
        <v>387</v>
      </c>
      <c r="M34" t="s">
        <v>385</v>
      </c>
      <c r="N34" t="s">
        <v>387</v>
      </c>
      <c r="O34" t="s">
        <v>387</v>
      </c>
      <c r="P34" t="s">
        <v>389</v>
      </c>
      <c r="Q34" t="s">
        <v>390</v>
      </c>
      <c r="R34" t="s">
        <v>388</v>
      </c>
      <c r="S34" t="s">
        <v>390</v>
      </c>
      <c r="T34" t="s">
        <v>391</v>
      </c>
      <c r="U34" t="s">
        <v>387</v>
      </c>
      <c r="V34" t="s">
        <v>387</v>
      </c>
      <c r="W34" t="s">
        <v>387</v>
      </c>
      <c r="X34" t="s">
        <v>387</v>
      </c>
      <c r="Y34" t="s">
        <v>384</v>
      </c>
      <c r="Z34" t="s">
        <v>387</v>
      </c>
      <c r="AA34" t="s">
        <v>392</v>
      </c>
      <c r="AB34" t="s">
        <v>387</v>
      </c>
      <c r="AC34" t="s">
        <v>392</v>
      </c>
      <c r="AD34" t="s">
        <v>392</v>
      </c>
      <c r="AE34" t="s">
        <v>392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曇|雨</v>
      </c>
      <c r="J37" s="2" t="str">
        <f t="shared" si="0"/>
        <v>曇|晴</v>
      </c>
      <c r="K37" s="2" t="str">
        <f t="shared" si="0"/>
        <v>晴/曇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晴/雨</v>
      </c>
      <c r="Q37" s="2" t="str">
        <f t="shared" si="0"/>
        <v>雨/曇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雨/晴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晴|曇</v>
      </c>
      <c r="Y37" s="2" t="str">
        <f t="shared" si="0"/>
        <v>晴/曇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晴|曇</v>
      </c>
      <c r="AC37" s="2" t="str">
        <f t="shared" si="0"/>
        <v>晴</v>
      </c>
      <c r="AD37" s="2" t="str">
        <f t="shared" si="0"/>
        <v>晴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5</v>
      </c>
      <c r="D41" s="2">
        <f>IF(D37="","",VLOOKUP(D37,変換!$B$31:$C$58,2,FALSE))</f>
        <v>20</v>
      </c>
      <c r="E41" s="2">
        <f>IF(E37="","",VLOOKUP(E37,変換!$B$31:$C$58,2,FALSE))</f>
        <v>2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21</v>
      </c>
      <c r="J41" s="2">
        <f>IF(J37="","",VLOOKUP(J37,変換!$B$31:$C$58,2,FALSE))</f>
        <v>20</v>
      </c>
      <c r="K41" s="2">
        <f>IF(K37="","",VLOOKUP(K37,変換!$B$31:$C$58,2,FALSE))</f>
        <v>5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6</v>
      </c>
      <c r="Q41" s="2">
        <f>IF(Q37="","",VLOOKUP(Q37,変換!$B$31:$C$58,2,FALSE))</f>
        <v>12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11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17</v>
      </c>
      <c r="Y41" s="2">
        <f>IF(Y37="","",VLOOKUP(Y37,変換!$B$31:$C$58,2,FALSE))</f>
        <v>5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17</v>
      </c>
      <c r="AC41" s="2">
        <f>IF(AC37="","",VLOOKUP(AC37,変換!$B$31:$C$58,2,FALSE))</f>
        <v>1</v>
      </c>
      <c r="AD41" s="2">
        <f>IF(AD37="","",VLOOKUP(AD37,変換!$B$31:$C$58,2,FALSE))</f>
        <v>1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37" t="s">
        <v>371</v>
      </c>
      <c r="B30" s="237"/>
      <c r="C30" s="23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600000000000001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"/>
  <cols>
    <col min="1" max="1" width="3.09765625" style="31" customWidth="1"/>
    <col min="2" max="2" width="21.8984375" style="31" customWidth="1"/>
    <col min="3" max="3" width="6" style="31" customWidth="1"/>
    <col min="4" max="25" width="9.8984375" style="32" customWidth="1"/>
    <col min="26" max="42" width="5.59765625" style="31" hidden="1" customWidth="1"/>
    <col min="43" max="43" width="11.59765625" style="33" hidden="1" customWidth="1"/>
    <col min="44" max="44" width="3.09765625" style="33" customWidth="1"/>
    <col min="45" max="45" width="27.59765625" style="31" bestFit="1" customWidth="1"/>
    <col min="46" max="16384" width="9" style="31"/>
  </cols>
  <sheetData>
    <row r="1" spans="1:47">
      <c r="B1" s="31">
        <v>45839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0.8">
      <c r="A2" s="221"/>
      <c r="B2" s="221"/>
      <c r="C2" s="185"/>
      <c r="D2" s="185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22" t="s">
        <v>351</v>
      </c>
      <c r="E4" s="223"/>
      <c r="F4" s="226" t="s">
        <v>353</v>
      </c>
      <c r="G4" s="227"/>
      <c r="H4" s="226" t="s">
        <v>356</v>
      </c>
      <c r="I4" s="230"/>
      <c r="J4" s="215" t="s">
        <v>357</v>
      </c>
      <c r="K4" s="216"/>
      <c r="L4" s="215" t="s">
        <v>360</v>
      </c>
      <c r="M4" s="216"/>
      <c r="N4" s="215" t="s">
        <v>363</v>
      </c>
      <c r="O4" s="216"/>
      <c r="P4" s="215"/>
      <c r="Q4" s="216"/>
      <c r="R4" s="215"/>
      <c r="S4" s="216"/>
      <c r="T4" s="215"/>
      <c r="U4" s="216"/>
      <c r="V4" s="215"/>
      <c r="W4" s="216"/>
      <c r="X4" s="215"/>
      <c r="Y4" s="219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24"/>
      <c r="E5" s="225"/>
      <c r="F5" s="228"/>
      <c r="G5" s="229"/>
      <c r="H5" s="228"/>
      <c r="I5" s="231"/>
      <c r="J5" s="217"/>
      <c r="K5" s="218"/>
      <c r="L5" s="217"/>
      <c r="M5" s="218"/>
      <c r="N5" s="217"/>
      <c r="O5" s="218"/>
      <c r="P5" s="217"/>
      <c r="Q5" s="218"/>
      <c r="R5" s="217"/>
      <c r="S5" s="218"/>
      <c r="T5" s="217"/>
      <c r="U5" s="218"/>
      <c r="V5" s="217"/>
      <c r="W5" s="218"/>
      <c r="X5" s="217"/>
      <c r="Y5" s="220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194"/>
      <c r="E6" s="43"/>
      <c r="F6" s="196"/>
      <c r="G6" s="44"/>
      <c r="H6" s="192"/>
      <c r="I6" s="43"/>
      <c r="J6" s="190"/>
      <c r="K6" s="43"/>
      <c r="L6" s="192"/>
      <c r="M6" s="43"/>
      <c r="N6" s="190"/>
      <c r="O6" s="43"/>
      <c r="P6" s="192"/>
      <c r="Q6" s="43"/>
      <c r="R6" s="190"/>
      <c r="S6" s="43"/>
      <c r="T6" s="206"/>
      <c r="U6" s="43"/>
      <c r="V6" s="204"/>
      <c r="W6" s="43"/>
      <c r="X6" s="20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195"/>
      <c r="E7" s="48" t="s">
        <v>124</v>
      </c>
      <c r="F7" s="197"/>
      <c r="G7" s="49" t="s">
        <v>124</v>
      </c>
      <c r="H7" s="193"/>
      <c r="I7" s="48" t="s">
        <v>124</v>
      </c>
      <c r="J7" s="191"/>
      <c r="K7" s="48" t="s">
        <v>124</v>
      </c>
      <c r="L7" s="193"/>
      <c r="M7" s="48" t="s">
        <v>124</v>
      </c>
      <c r="N7" s="191"/>
      <c r="O7" s="48" t="s">
        <v>124</v>
      </c>
      <c r="P7" s="193"/>
      <c r="Q7" s="48" t="s">
        <v>124</v>
      </c>
      <c r="R7" s="191"/>
      <c r="S7" s="48" t="s">
        <v>124</v>
      </c>
      <c r="T7" s="207"/>
      <c r="U7" s="48" t="s">
        <v>124</v>
      </c>
      <c r="V7" s="205"/>
      <c r="W7" s="48" t="s">
        <v>124</v>
      </c>
      <c r="X7" s="20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20250707</v>
      </c>
      <c r="E9" s="59" t="str">
        <f>IF(手入力!C3="",REPLACE(D9,5,0,"/"),REPLACE(手入力!C3,5,0,"/"))</f>
        <v>2025/0707</v>
      </c>
      <c r="F9" s="58">
        <v>20250707</v>
      </c>
      <c r="G9" s="59" t="str">
        <f>IF(手入力!D3="",REPLACE(F9,5,0,"/"),REPLACE(手入力!D3,5,0,"/"))</f>
        <v>2025/0707</v>
      </c>
      <c r="H9" s="58">
        <v>20250707</v>
      </c>
      <c r="I9" s="59" t="str">
        <f>IF(手入力!E3="",REPLACE(H9,5,0,"/"),REPLACE(手入力!E3,5,0,"/"))</f>
        <v>2025/0707</v>
      </c>
      <c r="J9" s="58">
        <v>20250707</v>
      </c>
      <c r="K9" s="59" t="str">
        <f>IF(手入力!F3="",REPLACE(J9,5,0,"/"),REPLACE(手入力!F3,5,0,"/"))</f>
        <v>2025/0707</v>
      </c>
      <c r="L9" s="58">
        <v>20250707</v>
      </c>
      <c r="M9" s="59" t="str">
        <f>IF(手入力!G3="",REPLACE(L9,5,0,"/"),REPLACE(手入力!G3,5,0,"/"))</f>
        <v>2025/0707</v>
      </c>
      <c r="N9" s="58">
        <v>20250707</v>
      </c>
      <c r="O9" s="59" t="str">
        <f>IF(手入力!H3="",REPLACE(N9,5,0,"/"),REPLACE(手入力!H3,5,0,"/"))</f>
        <v>2025/0707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1006</v>
      </c>
      <c r="E10" s="67" t="str">
        <f>TEXT(D10,"0000")</f>
        <v>1006</v>
      </c>
      <c r="F10" s="68">
        <v>951</v>
      </c>
      <c r="G10" s="67" t="str">
        <f>TEXT(F10,"0000")</f>
        <v>0951</v>
      </c>
      <c r="H10" s="68">
        <v>1026</v>
      </c>
      <c r="I10" s="67" t="str">
        <f>TEXT(H10,"0000")</f>
        <v>1026</v>
      </c>
      <c r="J10" s="68">
        <v>926</v>
      </c>
      <c r="K10" s="67" t="str">
        <f>TEXT(J10,"0000")</f>
        <v>0926</v>
      </c>
      <c r="L10" s="68">
        <v>1101</v>
      </c>
      <c r="M10" s="67" t="str">
        <f>TEXT(L10,"0000")</f>
        <v>1101</v>
      </c>
      <c r="N10" s="68">
        <v>1042</v>
      </c>
      <c r="O10" s="67" t="str">
        <f>TEXT(N10,"0000")</f>
        <v>1042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6</v>
      </c>
      <c r="F11" s="68" t="str">
        <f>IF(F$9=0,"",HLOOKUP(G11,天気タグ!$B$3:$AG$39,35))</f>
        <v>晴|曇</v>
      </c>
      <c r="G11" s="68">
        <f>IF(G9=0,"",(RIGHT(G9,2))-1)</f>
        <v>6</v>
      </c>
      <c r="H11" s="68" t="str">
        <f>IF(H$9=0,"",HLOOKUP(I11,天気タグ!$B$3:$AG$39,35))</f>
        <v>晴|曇</v>
      </c>
      <c r="I11" s="68">
        <f>IF(I9=0,"",(RIGHT(I9,2))-1)</f>
        <v>6</v>
      </c>
      <c r="J11" s="68" t="str">
        <f>IF(J$9=0,"",HLOOKUP(K11,天気タグ!$B$3:$AG$39,35))</f>
        <v>晴|曇</v>
      </c>
      <c r="K11" s="68">
        <f>IF(K9=0,"",(RIGHT(K9,2))-1)</f>
        <v>6</v>
      </c>
      <c r="L11" s="68" t="str">
        <f>IF(L$9=0,"",HLOOKUP(M11,天気タグ!$B$3:$AG$39,35))</f>
        <v>晴|曇</v>
      </c>
      <c r="M11" s="68">
        <f>IF(M9=0,"",(RIGHT(M9,2))-1)</f>
        <v>6</v>
      </c>
      <c r="N11" s="68" t="str">
        <f>IF(N$9=0,"",HLOOKUP(O11,天気タグ!$B$3:$AG$39,35))</f>
        <v>晴|曇</v>
      </c>
      <c r="O11" s="68">
        <f>IF(O9=0,"",(RIGHT(O9,2))-1)</f>
        <v>6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7</v>
      </c>
      <c r="F12" s="68" t="str">
        <f>IF(F$9=0,"",HLOOKUP(G12,天気タグ!$B$3:$AG$39,35))</f>
        <v>曇|雨</v>
      </c>
      <c r="G12" s="68">
        <f>IF(G9=0,"",RIGHT(G9,2)*1)</f>
        <v>7</v>
      </c>
      <c r="H12" s="68" t="str">
        <f>IF(H$9=0,"",HLOOKUP(I12,天気タグ!$B$3:$AG$39,35))</f>
        <v>曇|雨</v>
      </c>
      <c r="I12" s="68">
        <f>IF(I9=0,"",RIGHT(I9,2)*1)</f>
        <v>7</v>
      </c>
      <c r="J12" s="68" t="str">
        <f>IF(J$9=0,"",HLOOKUP(K12,天気タグ!$B$3:$AG$39,35))</f>
        <v>曇|雨</v>
      </c>
      <c r="K12" s="68">
        <f>IF(K9=0,"",RIGHT(K9,2)*1)</f>
        <v>7</v>
      </c>
      <c r="L12" s="68" t="str">
        <f>IF(L$9=0,"",HLOOKUP(M12,天気タグ!$B$3:$AG$39,35))</f>
        <v>曇|雨</v>
      </c>
      <c r="M12" s="68">
        <f>IF(M9=0,"",RIGHT(M9,2)*1)</f>
        <v>7</v>
      </c>
      <c r="N12" s="68" t="str">
        <f>IF(N$9=0,"",HLOOKUP(O12,天気タグ!$B$3:$AG$39,35))</f>
        <v>曇|雨</v>
      </c>
      <c r="O12" s="68">
        <f>IF(O9=0,"",RIGHT(O9,2)*1)</f>
        <v>7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29.5</v>
      </c>
      <c r="E13" s="70"/>
      <c r="F13" s="70">
        <v>32</v>
      </c>
      <c r="G13" s="70"/>
      <c r="H13" s="70">
        <v>31.5</v>
      </c>
      <c r="I13" s="68"/>
      <c r="J13" s="70">
        <v>32</v>
      </c>
      <c r="K13" s="70"/>
      <c r="L13" s="70">
        <v>30.5</v>
      </c>
      <c r="M13" s="70"/>
      <c r="N13" s="70">
        <v>29.5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23.5</v>
      </c>
      <c r="E14" s="76"/>
      <c r="F14" s="77">
        <v>29.2</v>
      </c>
      <c r="G14" s="77"/>
      <c r="H14" s="77">
        <v>23.7</v>
      </c>
      <c r="I14" s="77"/>
      <c r="J14" s="77">
        <v>29.7</v>
      </c>
      <c r="K14" s="77"/>
      <c r="L14" s="77">
        <v>20.7</v>
      </c>
      <c r="M14" s="77"/>
      <c r="N14" s="77">
        <v>24.5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0.51</v>
      </c>
      <c r="E26" s="98"/>
      <c r="F26" s="98">
        <v>0.52</v>
      </c>
      <c r="G26" s="98"/>
      <c r="H26" s="68">
        <v>0.45</v>
      </c>
      <c r="I26" s="98"/>
      <c r="J26" s="68">
        <v>0.46</v>
      </c>
      <c r="K26" s="98"/>
      <c r="L26" s="68">
        <v>0.2</v>
      </c>
      <c r="M26" s="98"/>
      <c r="N26" s="68">
        <v>0.21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0.08</v>
      </c>
      <c r="I27" s="98"/>
      <c r="J27" s="68">
        <v>0.08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98">
        <v>0.08</v>
      </c>
      <c r="G36" s="98"/>
      <c r="H36" s="68">
        <v>0.13</v>
      </c>
      <c r="I36" s="98"/>
      <c r="J36" s="68">
        <v>0.13</v>
      </c>
      <c r="K36" s="98"/>
      <c r="L36" s="68">
        <v>0.11</v>
      </c>
      <c r="M36" s="98"/>
      <c r="N36" s="68">
        <v>0.16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65" t="e">
        <f t="shared" ref="E38:Y40" si="6">D38/1000</f>
        <v>#VALUE!</v>
      </c>
      <c r="F38" s="96" t="s">
        <v>383</v>
      </c>
      <c r="G38" s="165" t="e">
        <f t="shared" si="6"/>
        <v>#VALUE!</v>
      </c>
      <c r="H38" s="68" t="s">
        <v>383</v>
      </c>
      <c r="I38" s="165" t="e">
        <f t="shared" si="6"/>
        <v>#VALUE!</v>
      </c>
      <c r="J38" s="68" t="s">
        <v>383</v>
      </c>
      <c r="K38" s="165" t="e">
        <f t="shared" si="6"/>
        <v>#VALUE!</v>
      </c>
      <c r="L38" s="68" t="s">
        <v>383</v>
      </c>
      <c r="M38" s="165" t="e">
        <f t="shared" si="6"/>
        <v>#VALUE!</v>
      </c>
      <c r="N38" s="68" t="s">
        <v>383</v>
      </c>
      <c r="O38" s="165" t="e">
        <f t="shared" si="6"/>
        <v>#VALUE!</v>
      </c>
      <c r="P38" s="68"/>
      <c r="Q38" s="165">
        <f t="shared" si="6"/>
        <v>0</v>
      </c>
      <c r="R38" s="68"/>
      <c r="S38" s="165">
        <f t="shared" si="6"/>
        <v>0</v>
      </c>
      <c r="T38" s="68"/>
      <c r="U38" s="165">
        <f t="shared" si="6"/>
        <v>0</v>
      </c>
      <c r="V38" s="68"/>
      <c r="W38" s="165">
        <f t="shared" si="6"/>
        <v>0</v>
      </c>
      <c r="X38" s="68"/>
      <c r="Y38" s="165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65" t="e">
        <f t="shared" si="6"/>
        <v>#VALUE!</v>
      </c>
      <c r="F40" s="96" t="s">
        <v>383</v>
      </c>
      <c r="G40" s="165" t="e">
        <f t="shared" si="6"/>
        <v>#VALUE!</v>
      </c>
      <c r="H40" s="68" t="s">
        <v>383</v>
      </c>
      <c r="I40" s="165" t="e">
        <f t="shared" si="6"/>
        <v>#VALUE!</v>
      </c>
      <c r="J40" s="68" t="s">
        <v>383</v>
      </c>
      <c r="K40" s="165" t="e">
        <f t="shared" si="6"/>
        <v>#VALUE!</v>
      </c>
      <c r="L40" s="68" t="s">
        <v>383</v>
      </c>
      <c r="M40" s="165" t="e">
        <f t="shared" si="6"/>
        <v>#VALUE!</v>
      </c>
      <c r="N40" s="68" t="s">
        <v>383</v>
      </c>
      <c r="O40" s="165" t="e">
        <f t="shared" si="6"/>
        <v>#VALUE!</v>
      </c>
      <c r="P40" s="68"/>
      <c r="Q40" s="165">
        <f t="shared" si="6"/>
        <v>0</v>
      </c>
      <c r="R40" s="68"/>
      <c r="S40" s="165">
        <f t="shared" si="6"/>
        <v>0</v>
      </c>
      <c r="T40" s="68"/>
      <c r="U40" s="165">
        <f t="shared" si="6"/>
        <v>0</v>
      </c>
      <c r="V40" s="68"/>
      <c r="W40" s="165">
        <f t="shared" si="6"/>
        <v>0</v>
      </c>
      <c r="X40" s="68"/>
      <c r="Y40" s="165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65" t="e">
        <f t="shared" ref="E44:Y45" si="7">D44/1000</f>
        <v>#VALUE!</v>
      </c>
      <c r="F44" s="96" t="s">
        <v>383</v>
      </c>
      <c r="G44" s="165" t="e">
        <f t="shared" si="7"/>
        <v>#VALUE!</v>
      </c>
      <c r="H44" s="68" t="s">
        <v>383</v>
      </c>
      <c r="I44" s="165" t="e">
        <f t="shared" si="7"/>
        <v>#VALUE!</v>
      </c>
      <c r="J44" s="68" t="s">
        <v>383</v>
      </c>
      <c r="K44" s="165" t="e">
        <f t="shared" si="7"/>
        <v>#VALUE!</v>
      </c>
      <c r="L44" s="68" t="s">
        <v>383</v>
      </c>
      <c r="M44" s="165" t="e">
        <f t="shared" si="7"/>
        <v>#VALUE!</v>
      </c>
      <c r="N44" s="68" t="s">
        <v>383</v>
      </c>
      <c r="O44" s="165" t="e">
        <f t="shared" si="7"/>
        <v>#VALUE!</v>
      </c>
      <c r="P44" s="68"/>
      <c r="Q44" s="165">
        <f t="shared" si="7"/>
        <v>0</v>
      </c>
      <c r="R44" s="68"/>
      <c r="S44" s="165">
        <f t="shared" si="7"/>
        <v>0</v>
      </c>
      <c r="T44" s="68"/>
      <c r="U44" s="165">
        <f t="shared" si="7"/>
        <v>0</v>
      </c>
      <c r="V44" s="68"/>
      <c r="W44" s="165">
        <f t="shared" si="7"/>
        <v>0</v>
      </c>
      <c r="X44" s="68"/>
      <c r="Y44" s="165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65" t="e">
        <f t="shared" si="7"/>
        <v>#VALUE!</v>
      </c>
      <c r="F45" s="96" t="s">
        <v>383</v>
      </c>
      <c r="G45" s="165" t="e">
        <f t="shared" si="7"/>
        <v>#VALUE!</v>
      </c>
      <c r="H45" s="68" t="s">
        <v>383</v>
      </c>
      <c r="I45" s="165" t="e">
        <f t="shared" si="7"/>
        <v>#VALUE!</v>
      </c>
      <c r="J45" s="68" t="s">
        <v>383</v>
      </c>
      <c r="K45" s="165" t="e">
        <f t="shared" si="7"/>
        <v>#VALUE!</v>
      </c>
      <c r="L45" s="68" t="s">
        <v>383</v>
      </c>
      <c r="M45" s="165" t="e">
        <f t="shared" si="7"/>
        <v>#VALUE!</v>
      </c>
      <c r="N45" s="68" t="s">
        <v>383</v>
      </c>
      <c r="O45" s="165" t="e">
        <f t="shared" si="7"/>
        <v>#VALUE!</v>
      </c>
      <c r="P45" s="68"/>
      <c r="Q45" s="165">
        <f t="shared" si="7"/>
        <v>0</v>
      </c>
      <c r="R45" s="68"/>
      <c r="S45" s="165">
        <f t="shared" si="7"/>
        <v>0</v>
      </c>
      <c r="T45" s="68"/>
      <c r="U45" s="165">
        <f t="shared" si="7"/>
        <v>0</v>
      </c>
      <c r="V45" s="68"/>
      <c r="W45" s="165">
        <f t="shared" si="7"/>
        <v>0</v>
      </c>
      <c r="X45" s="68"/>
      <c r="Y45" s="165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3.7</v>
      </c>
      <c r="E53" s="70"/>
      <c r="F53" s="70">
        <v>3.8</v>
      </c>
      <c r="G53" s="70"/>
      <c r="H53" s="68">
        <v>5.0999999999999996</v>
      </c>
      <c r="I53" s="70"/>
      <c r="J53" s="68">
        <v>5.3</v>
      </c>
      <c r="K53" s="70"/>
      <c r="L53" s="68">
        <v>2.1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102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68">
        <v>0</v>
      </c>
      <c r="O57" s="67">
        <f>N57/1000</f>
        <v>0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102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68">
        <v>0</v>
      </c>
      <c r="O58" s="67">
        <f>N58/1000</f>
        <v>0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4.0000000000000001E-3</v>
      </c>
      <c r="E59" s="96"/>
      <c r="F59" s="96">
        <v>5.0000000000000001E-3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0.5</v>
      </c>
      <c r="I61" s="70"/>
      <c r="J61" s="68">
        <v>0.6</v>
      </c>
      <c r="K61" s="70"/>
      <c r="L61" s="68">
        <v>0.6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7.6</v>
      </c>
      <c r="I62" s="70"/>
      <c r="J62" s="68">
        <v>7.8</v>
      </c>
      <c r="K62" s="70"/>
      <c r="L62" s="68">
        <v>6.7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14"/>
      <c r="B68" s="214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0.3</v>
      </c>
      <c r="G81" s="70"/>
      <c r="H81" s="68">
        <v>1</v>
      </c>
      <c r="I81" s="70"/>
      <c r="J81" s="70">
        <v>0.3</v>
      </c>
      <c r="K81" s="70"/>
      <c r="L81" s="70">
        <v>0.6</v>
      </c>
      <c r="M81" s="70"/>
      <c r="N81" s="70">
        <v>0.4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65" t="e">
        <f>D83/1000</f>
        <v>#VALUE!</v>
      </c>
      <c r="F83" s="96" t="s">
        <v>383</v>
      </c>
      <c r="G83" s="165" t="e">
        <f>F83/1000</f>
        <v>#VALUE!</v>
      </c>
      <c r="H83" s="68" t="s">
        <v>383</v>
      </c>
      <c r="I83" s="165" t="e">
        <f>H83/1000</f>
        <v>#VALUE!</v>
      </c>
      <c r="J83" s="96" t="s">
        <v>383</v>
      </c>
      <c r="K83" s="165" t="e">
        <f>J83/1000</f>
        <v>#VALUE!</v>
      </c>
      <c r="L83" s="96" t="s">
        <v>383</v>
      </c>
      <c r="M83" s="165" t="e">
        <f>L83/1000</f>
        <v>#VALUE!</v>
      </c>
      <c r="N83" s="96" t="s">
        <v>383</v>
      </c>
      <c r="O83" s="165" t="e">
        <f>N83/1000</f>
        <v>#VALUE!</v>
      </c>
      <c r="P83" s="96"/>
      <c r="Q83" s="165">
        <f>P83/1000</f>
        <v>0</v>
      </c>
      <c r="R83" s="96"/>
      <c r="S83" s="165">
        <f>R83/1000</f>
        <v>0</v>
      </c>
      <c r="T83" s="96"/>
      <c r="U83" s="165">
        <f>T83/1000</f>
        <v>0</v>
      </c>
      <c r="V83" s="96"/>
      <c r="W83" s="165">
        <f>V83/1000</f>
        <v>0</v>
      </c>
      <c r="X83" s="96"/>
      <c r="Y83" s="165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8">
        <v>0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7.6</v>
      </c>
      <c r="I91" s="70"/>
      <c r="J91" s="70">
        <v>7.8</v>
      </c>
      <c r="K91" s="70"/>
      <c r="L91" s="70">
        <v>6.7</v>
      </c>
      <c r="M91" s="70"/>
      <c r="N91" s="70">
        <v>7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65" t="e">
        <f>D95/1000</f>
        <v>#VALUE!</v>
      </c>
      <c r="F95" s="98" t="s">
        <v>383</v>
      </c>
      <c r="G95" s="165" t="e">
        <f>F95/1000</f>
        <v>#VALUE!</v>
      </c>
      <c r="H95" s="68" t="s">
        <v>383</v>
      </c>
      <c r="I95" s="165" t="e">
        <f>H95/1000</f>
        <v>#VALUE!</v>
      </c>
      <c r="J95" s="98" t="s">
        <v>383</v>
      </c>
      <c r="K95" s="165" t="e">
        <f>J95/1000</f>
        <v>#VALUE!</v>
      </c>
      <c r="L95" s="98" t="s">
        <v>383</v>
      </c>
      <c r="M95" s="165" t="e">
        <f>L95/1000</f>
        <v>#VALUE!</v>
      </c>
      <c r="N95" s="98" t="s">
        <v>383</v>
      </c>
      <c r="O95" s="165" t="e">
        <f>N95/1000</f>
        <v>#VALUE!</v>
      </c>
      <c r="P95" s="98"/>
      <c r="Q95" s="165">
        <f>P95/1000</f>
        <v>0</v>
      </c>
      <c r="R95" s="130"/>
      <c r="S95" s="165">
        <f>R95/1000</f>
        <v>0</v>
      </c>
      <c r="T95" s="131"/>
      <c r="U95" s="165">
        <f>T95/1000</f>
        <v>0</v>
      </c>
      <c r="V95" s="131"/>
      <c r="W95" s="165">
        <f>V95/1000</f>
        <v>0</v>
      </c>
      <c r="X95" s="131"/>
      <c r="Y95" s="165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67" t="s">
        <v>176</v>
      </c>
      <c r="C96" s="168"/>
      <c r="D96" s="134" t="s">
        <v>383</v>
      </c>
      <c r="E96" s="169" t="e">
        <f>D96/1000</f>
        <v>#VALUE!</v>
      </c>
      <c r="F96" s="135" t="s">
        <v>383</v>
      </c>
      <c r="G96" s="169" t="e">
        <f>F96/1000</f>
        <v>#VALUE!</v>
      </c>
      <c r="H96" s="110" t="s">
        <v>383</v>
      </c>
      <c r="I96" s="169" t="e">
        <f>H96/1000</f>
        <v>#VALUE!</v>
      </c>
      <c r="J96" s="135" t="s">
        <v>383</v>
      </c>
      <c r="K96" s="169" t="e">
        <f>J96/1000</f>
        <v>#VALUE!</v>
      </c>
      <c r="L96" s="135" t="s">
        <v>383</v>
      </c>
      <c r="M96" s="169" t="e">
        <f>L96/1000</f>
        <v>#VALUE!</v>
      </c>
      <c r="N96" s="135" t="s">
        <v>383</v>
      </c>
      <c r="O96" s="169" t="e">
        <f>N96/1000</f>
        <v>#VALUE!</v>
      </c>
      <c r="P96" s="135"/>
      <c r="Q96" s="135"/>
      <c r="R96" s="166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6.8</v>
      </c>
      <c r="E100" s="69"/>
      <c r="F100" s="70">
        <v>6.8</v>
      </c>
      <c r="G100" s="70"/>
      <c r="H100" s="68">
        <v>9.5</v>
      </c>
      <c r="I100" s="70"/>
      <c r="J100" s="70">
        <v>9.6999999999999993</v>
      </c>
      <c r="K100" s="70"/>
      <c r="L100" s="70">
        <v>4.8</v>
      </c>
      <c r="M100" s="70"/>
      <c r="N100" s="70">
        <v>4.9000000000000004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0.51</v>
      </c>
      <c r="E101" s="69"/>
      <c r="F101" s="70">
        <v>0.52</v>
      </c>
      <c r="G101" s="70"/>
      <c r="H101" s="68">
        <v>0.45</v>
      </c>
      <c r="I101" s="70"/>
      <c r="J101" s="70">
        <v>0.46</v>
      </c>
      <c r="K101" s="70"/>
      <c r="L101" s="70">
        <v>0.2</v>
      </c>
      <c r="M101" s="70"/>
      <c r="N101" s="70">
        <v>0.21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14"/>
      <c r="B132" s="214"/>
      <c r="C132" s="181"/>
      <c r="D132" s="18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69921875" customWidth="1"/>
    <col min="4" max="4" width="13" bestFit="1" customWidth="1"/>
    <col min="5" max="5" width="11.3984375" bestFit="1" customWidth="1"/>
    <col min="6" max="8" width="13" bestFit="1" customWidth="1"/>
  </cols>
  <sheetData>
    <row r="1" spans="1:8">
      <c r="B1" s="177">
        <v>45839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78">
        <v>45839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45840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45841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45842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45843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45844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45845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45846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45847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45848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45849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45850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45851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45852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45853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45854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45855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45856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45857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45858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45859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45860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45861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45862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45863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45864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45865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45866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45867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45868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45869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366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366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2021-12-28T08:21:38Z</cp:lastPrinted>
  <dcterms:created xsi:type="dcterms:W3CDTF">2020-11-06T01:25:08Z</dcterms:created>
  <dcterms:modified xsi:type="dcterms:W3CDTF">2025-08-25T01:32:43Z</dcterms:modified>
</cp:coreProperties>
</file>