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７月\"/>
    </mc:Choice>
  </mc:AlternateContent>
  <xr:revisionPtr revIDLastSave="0" documentId="13_ncr:1_{9E5842EA-60EA-4B65-8098-258943E893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月報!$A$1:$Z$130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M105" i="2" l="1"/>
  <c r="L105" i="2"/>
  <c r="K105" i="2"/>
  <c r="J105" i="2"/>
  <c r="I105" i="2"/>
  <c r="H105" i="2"/>
  <c r="G105" i="2"/>
  <c r="F105" i="2"/>
  <c r="E105" i="2"/>
  <c r="D105" i="2"/>
  <c r="M104" i="2"/>
  <c r="L104" i="2"/>
  <c r="K104" i="2"/>
  <c r="J104" i="2"/>
  <c r="I104" i="2"/>
  <c r="H104" i="2"/>
  <c r="G104" i="2"/>
  <c r="F104" i="2"/>
  <c r="E104" i="2"/>
  <c r="D104" i="2"/>
  <c r="M17" i="2" l="1"/>
  <c r="L17" i="2"/>
  <c r="K17" i="2"/>
  <c r="J17" i="2"/>
  <c r="I17" i="2"/>
  <c r="H17" i="2"/>
  <c r="G17" i="2"/>
  <c r="F17" i="2"/>
  <c r="E17" i="2"/>
  <c r="D17" i="2"/>
  <c r="I13" i="2" l="1"/>
  <c r="M101" i="2"/>
  <c r="L101" i="2"/>
  <c r="K101" i="2"/>
  <c r="J101" i="2"/>
  <c r="M100" i="2"/>
  <c r="L100" i="2"/>
  <c r="K100" i="2"/>
  <c r="J100" i="2"/>
  <c r="M99" i="2"/>
  <c r="L99" i="2"/>
  <c r="K99" i="2"/>
  <c r="J99" i="2"/>
  <c r="M98" i="2"/>
  <c r="L98" i="2"/>
  <c r="K98" i="2"/>
  <c r="J98" i="2"/>
  <c r="L96" i="2"/>
  <c r="K96" i="2"/>
  <c r="J96" i="2"/>
  <c r="L95" i="2"/>
  <c r="K95" i="2"/>
  <c r="J95" i="2"/>
  <c r="M94" i="2"/>
  <c r="L94" i="2"/>
  <c r="K94" i="2"/>
  <c r="J94" i="2"/>
  <c r="M93" i="2"/>
  <c r="L93" i="2"/>
  <c r="K93" i="2"/>
  <c r="J93" i="2"/>
  <c r="M92" i="2"/>
  <c r="L92" i="2"/>
  <c r="K92" i="2"/>
  <c r="J92" i="2"/>
  <c r="M91" i="2"/>
  <c r="L91" i="2"/>
  <c r="K91" i="2"/>
  <c r="J91" i="2"/>
  <c r="M90" i="2"/>
  <c r="L90" i="2"/>
  <c r="K90" i="2"/>
  <c r="J90" i="2"/>
  <c r="M89" i="2"/>
  <c r="L89" i="2"/>
  <c r="K89" i="2"/>
  <c r="J89" i="2"/>
  <c r="M88" i="2"/>
  <c r="L88" i="2"/>
  <c r="K88" i="2"/>
  <c r="J88" i="2"/>
  <c r="M87" i="2"/>
  <c r="L87" i="2"/>
  <c r="K87" i="2"/>
  <c r="J87" i="2"/>
  <c r="M86" i="2"/>
  <c r="L86" i="2"/>
  <c r="K86" i="2"/>
  <c r="J86" i="2"/>
  <c r="M85" i="2"/>
  <c r="L85" i="2"/>
  <c r="K85" i="2"/>
  <c r="J85" i="2"/>
  <c r="M84" i="2"/>
  <c r="L84" i="2"/>
  <c r="K84" i="2"/>
  <c r="J84" i="2"/>
  <c r="L83" i="2"/>
  <c r="K83" i="2"/>
  <c r="J83" i="2"/>
  <c r="M82" i="2"/>
  <c r="L82" i="2"/>
  <c r="K82" i="2"/>
  <c r="J82" i="2"/>
  <c r="M81" i="2"/>
  <c r="L81" i="2"/>
  <c r="K81" i="2"/>
  <c r="J81" i="2"/>
  <c r="M80" i="2"/>
  <c r="L80" i="2"/>
  <c r="K80" i="2"/>
  <c r="J80" i="2"/>
  <c r="M79" i="2"/>
  <c r="L79" i="2"/>
  <c r="K79" i="2"/>
  <c r="J79" i="2"/>
  <c r="M78" i="2"/>
  <c r="L78" i="2"/>
  <c r="K78" i="2"/>
  <c r="J78" i="2"/>
  <c r="L75" i="2"/>
  <c r="K75" i="2"/>
  <c r="J75" i="2"/>
  <c r="L74" i="2"/>
  <c r="K74" i="2"/>
  <c r="J74" i="2"/>
  <c r="L73" i="2"/>
  <c r="K73" i="2"/>
  <c r="J73" i="2"/>
  <c r="L72" i="2"/>
  <c r="K72" i="2"/>
  <c r="J72" i="2"/>
  <c r="L71" i="2"/>
  <c r="K71" i="2"/>
  <c r="J71" i="2"/>
  <c r="L70" i="2"/>
  <c r="K70" i="2"/>
  <c r="J70" i="2"/>
  <c r="M66" i="2"/>
  <c r="L66" i="2"/>
  <c r="K66" i="2"/>
  <c r="J66" i="2"/>
  <c r="M65" i="2"/>
  <c r="L65" i="2"/>
  <c r="K65" i="2"/>
  <c r="J65" i="2"/>
  <c r="M64" i="2"/>
  <c r="L64" i="2"/>
  <c r="K64" i="2"/>
  <c r="J64" i="2"/>
  <c r="M63" i="2"/>
  <c r="L63" i="2"/>
  <c r="K63" i="2"/>
  <c r="J63" i="2"/>
  <c r="M62" i="2"/>
  <c r="L62" i="2"/>
  <c r="K62" i="2"/>
  <c r="J62" i="2"/>
  <c r="M61" i="2"/>
  <c r="L61" i="2"/>
  <c r="K61" i="2"/>
  <c r="J61" i="2"/>
  <c r="L60" i="2"/>
  <c r="K60" i="2"/>
  <c r="J60" i="2"/>
  <c r="M59" i="2"/>
  <c r="L59" i="2"/>
  <c r="K59" i="2"/>
  <c r="J59" i="2"/>
  <c r="K58" i="2"/>
  <c r="K57" i="2"/>
  <c r="M56" i="2"/>
  <c r="L56" i="2"/>
  <c r="K56" i="2"/>
  <c r="J56" i="2"/>
  <c r="M55" i="2"/>
  <c r="L55" i="2"/>
  <c r="K55" i="2"/>
  <c r="J55" i="2"/>
  <c r="M54" i="2"/>
  <c r="L54" i="2"/>
  <c r="K54" i="2"/>
  <c r="J54" i="2"/>
  <c r="M53" i="2"/>
  <c r="L53" i="2"/>
  <c r="K53" i="2"/>
  <c r="J53" i="2"/>
  <c r="L52" i="2"/>
  <c r="K52" i="2"/>
  <c r="J52" i="2"/>
  <c r="M51" i="2"/>
  <c r="L51" i="2"/>
  <c r="K51" i="2"/>
  <c r="J51" i="2"/>
  <c r="L50" i="2"/>
  <c r="K50" i="2"/>
  <c r="J50" i="2"/>
  <c r="L49" i="2"/>
  <c r="K49" i="2"/>
  <c r="J49" i="2"/>
  <c r="L48" i="2"/>
  <c r="K48" i="2"/>
  <c r="J48" i="2"/>
  <c r="L47" i="2"/>
  <c r="K47" i="2"/>
  <c r="J47" i="2"/>
  <c r="M46" i="2"/>
  <c r="L46" i="2"/>
  <c r="K46" i="2"/>
  <c r="J46" i="2"/>
  <c r="L45" i="2"/>
  <c r="K45" i="2"/>
  <c r="J45" i="2"/>
  <c r="L44" i="2"/>
  <c r="K44" i="2"/>
  <c r="J44" i="2"/>
  <c r="M43" i="2"/>
  <c r="L43" i="2"/>
  <c r="K43" i="2"/>
  <c r="J43" i="2"/>
  <c r="L42" i="2"/>
  <c r="K42" i="2"/>
  <c r="J42" i="2"/>
  <c r="M41" i="2"/>
  <c r="L41" i="2"/>
  <c r="K41" i="2"/>
  <c r="J41" i="2"/>
  <c r="L40" i="2"/>
  <c r="K40" i="2"/>
  <c r="J40" i="2"/>
  <c r="M39" i="2"/>
  <c r="L39" i="2"/>
  <c r="K39" i="2"/>
  <c r="J39" i="2"/>
  <c r="L38" i="2"/>
  <c r="K38" i="2"/>
  <c r="J38" i="2"/>
  <c r="M37" i="2"/>
  <c r="L37" i="2"/>
  <c r="K37" i="2"/>
  <c r="J37" i="2"/>
  <c r="M36" i="2"/>
  <c r="L36" i="2"/>
  <c r="K36" i="2"/>
  <c r="J36" i="2"/>
  <c r="L35" i="2"/>
  <c r="K35" i="2"/>
  <c r="J35" i="2"/>
  <c r="L34" i="2"/>
  <c r="K34" i="2"/>
  <c r="J34" i="2"/>
  <c r="L33" i="2"/>
  <c r="K33" i="2"/>
  <c r="J33" i="2"/>
  <c r="L32" i="2"/>
  <c r="K32" i="2"/>
  <c r="J32" i="2"/>
  <c r="L31" i="2"/>
  <c r="K31" i="2"/>
  <c r="J31" i="2"/>
  <c r="L30" i="2"/>
  <c r="K30" i="2"/>
  <c r="J30" i="2"/>
  <c r="L29" i="2"/>
  <c r="K29" i="2"/>
  <c r="J29" i="2"/>
  <c r="L28" i="2"/>
  <c r="K28" i="2"/>
  <c r="J28" i="2"/>
  <c r="M27" i="2"/>
  <c r="L27" i="2"/>
  <c r="K27" i="2"/>
  <c r="J27" i="2"/>
  <c r="M26" i="2"/>
  <c r="L26" i="2"/>
  <c r="K26" i="2"/>
  <c r="J26" i="2"/>
  <c r="L25" i="2"/>
  <c r="M24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M16" i="2"/>
  <c r="L16" i="2"/>
  <c r="K16" i="2"/>
  <c r="J16" i="2"/>
  <c r="M14" i="2"/>
  <c r="L14" i="2"/>
  <c r="K14" i="2"/>
  <c r="J14" i="2"/>
  <c r="M13" i="2"/>
  <c r="L13" i="2"/>
  <c r="K13" i="2"/>
  <c r="J13" i="2"/>
  <c r="J9" i="2" s="1"/>
  <c r="W9" i="5"/>
  <c r="U9" i="5"/>
  <c r="S9" i="5"/>
  <c r="Q9" i="5"/>
  <c r="W96" i="5"/>
  <c r="M96" i="2" s="1"/>
  <c r="U96" i="5"/>
  <c r="S96" i="5"/>
  <c r="Q96" i="5"/>
  <c r="W95" i="5"/>
  <c r="M95" i="2" s="1"/>
  <c r="U95" i="5"/>
  <c r="S95" i="5"/>
  <c r="Q95" i="5"/>
  <c r="W83" i="5"/>
  <c r="M83" i="2" s="1"/>
  <c r="U83" i="5"/>
  <c r="S83" i="5"/>
  <c r="Q83" i="5"/>
  <c r="W75" i="5"/>
  <c r="M75" i="2" s="1"/>
  <c r="U75" i="5"/>
  <c r="S75" i="5"/>
  <c r="Q75" i="5"/>
  <c r="W74" i="5"/>
  <c r="M74" i="2" s="1"/>
  <c r="U74" i="5"/>
  <c r="S74" i="5"/>
  <c r="Q74" i="5"/>
  <c r="W73" i="5"/>
  <c r="M73" i="2" s="1"/>
  <c r="U73" i="5"/>
  <c r="S73" i="5"/>
  <c r="Q73" i="5"/>
  <c r="W72" i="5"/>
  <c r="M72" i="2" s="1"/>
  <c r="U72" i="5"/>
  <c r="S72" i="5"/>
  <c r="Q72" i="5"/>
  <c r="W71" i="5"/>
  <c r="M71" i="2" s="1"/>
  <c r="U71" i="5"/>
  <c r="S71" i="5"/>
  <c r="Q71" i="5"/>
  <c r="W70" i="5"/>
  <c r="M70" i="2" s="1"/>
  <c r="U70" i="5"/>
  <c r="S70" i="5"/>
  <c r="Q70" i="5"/>
  <c r="W60" i="5"/>
  <c r="M60" i="2" s="1"/>
  <c r="U60" i="5"/>
  <c r="S60" i="5"/>
  <c r="Q60" i="5"/>
  <c r="W58" i="5"/>
  <c r="M58" i="2" s="1"/>
  <c r="U58" i="5"/>
  <c r="L58" i="2" s="1"/>
  <c r="S58" i="5"/>
  <c r="Q58" i="5"/>
  <c r="J58" i="2" s="1"/>
  <c r="W57" i="5"/>
  <c r="M57" i="2" s="1"/>
  <c r="U57" i="5"/>
  <c r="L57" i="2" s="1"/>
  <c r="S57" i="5"/>
  <c r="Q57" i="5"/>
  <c r="J57" i="2" s="1"/>
  <c r="W52" i="5"/>
  <c r="M52" i="2" s="1"/>
  <c r="U52" i="5"/>
  <c r="S52" i="5"/>
  <c r="Q52" i="5"/>
  <c r="W50" i="5"/>
  <c r="M50" i="2" s="1"/>
  <c r="U50" i="5"/>
  <c r="S50" i="5"/>
  <c r="Q50" i="5"/>
  <c r="W49" i="5"/>
  <c r="M49" i="2" s="1"/>
  <c r="U49" i="5"/>
  <c r="S49" i="5"/>
  <c r="Q49" i="5"/>
  <c r="W48" i="5"/>
  <c r="M48" i="2" s="1"/>
  <c r="U48" i="5"/>
  <c r="S48" i="5"/>
  <c r="Q48" i="5"/>
  <c r="W47" i="5"/>
  <c r="M47" i="2" s="1"/>
  <c r="U47" i="5"/>
  <c r="S47" i="5"/>
  <c r="Q47" i="5"/>
  <c r="W45" i="5"/>
  <c r="M45" i="2" s="1"/>
  <c r="U45" i="5"/>
  <c r="S45" i="5"/>
  <c r="Q45" i="5"/>
  <c r="W44" i="5"/>
  <c r="M44" i="2" s="1"/>
  <c r="U44" i="5"/>
  <c r="S44" i="5"/>
  <c r="Q44" i="5"/>
  <c r="W42" i="5"/>
  <c r="M42" i="2" s="1"/>
  <c r="U42" i="5"/>
  <c r="S42" i="5"/>
  <c r="Q42" i="5"/>
  <c r="W40" i="5"/>
  <c r="M40" i="2" s="1"/>
  <c r="U40" i="5"/>
  <c r="S40" i="5"/>
  <c r="Q40" i="5"/>
  <c r="W38" i="5"/>
  <c r="M38" i="2" s="1"/>
  <c r="U38" i="5"/>
  <c r="S38" i="5"/>
  <c r="Q38" i="5"/>
  <c r="W35" i="5"/>
  <c r="M35" i="2" s="1"/>
  <c r="U35" i="5"/>
  <c r="S35" i="5"/>
  <c r="Q35" i="5"/>
  <c r="W34" i="5"/>
  <c r="M34" i="2" s="1"/>
  <c r="U34" i="5"/>
  <c r="S34" i="5"/>
  <c r="Q34" i="5"/>
  <c r="W33" i="5"/>
  <c r="M33" i="2" s="1"/>
  <c r="U33" i="5"/>
  <c r="S33" i="5"/>
  <c r="Q33" i="5"/>
  <c r="W32" i="5"/>
  <c r="M32" i="2" s="1"/>
  <c r="U32" i="5"/>
  <c r="S32" i="5"/>
  <c r="Q32" i="5"/>
  <c r="W31" i="5"/>
  <c r="M31" i="2" s="1"/>
  <c r="U31" i="5"/>
  <c r="S31" i="5"/>
  <c r="Q31" i="5"/>
  <c r="W30" i="5"/>
  <c r="M30" i="2" s="1"/>
  <c r="U30" i="5"/>
  <c r="S30" i="5"/>
  <c r="Q30" i="5"/>
  <c r="W29" i="5"/>
  <c r="M29" i="2" s="1"/>
  <c r="U29" i="5"/>
  <c r="S29" i="5"/>
  <c r="Q29" i="5"/>
  <c r="W28" i="5"/>
  <c r="M28" i="2" s="1"/>
  <c r="U28" i="5"/>
  <c r="S28" i="5"/>
  <c r="Q28" i="5"/>
  <c r="W25" i="5"/>
  <c r="M25" i="2" s="1"/>
  <c r="U25" i="5"/>
  <c r="S25" i="5"/>
  <c r="K25" i="2" s="1"/>
  <c r="Q25" i="5"/>
  <c r="J25" i="2" s="1"/>
  <c r="W23" i="5"/>
  <c r="M23" i="2" s="1"/>
  <c r="U23" i="5"/>
  <c r="S23" i="5"/>
  <c r="Q23" i="5"/>
  <c r="W22" i="5"/>
  <c r="M22" i="2" s="1"/>
  <c r="U22" i="5"/>
  <c r="S22" i="5"/>
  <c r="Q22" i="5"/>
  <c r="W21" i="5"/>
  <c r="M21" i="2" s="1"/>
  <c r="U21" i="5"/>
  <c r="S21" i="5"/>
  <c r="Q21" i="5"/>
  <c r="W20" i="5"/>
  <c r="M20" i="2" s="1"/>
  <c r="U20" i="5"/>
  <c r="S20" i="5"/>
  <c r="Q20" i="5"/>
  <c r="W19" i="5"/>
  <c r="M19" i="2" s="1"/>
  <c r="U19" i="5"/>
  <c r="S19" i="5"/>
  <c r="Q19" i="5"/>
  <c r="W18" i="5"/>
  <c r="M18" i="2" s="1"/>
  <c r="U18" i="5"/>
  <c r="S18" i="5"/>
  <c r="Q18" i="5"/>
  <c r="W10" i="5"/>
  <c r="M10" i="2" s="1"/>
  <c r="U10" i="5"/>
  <c r="L10" i="2" s="1"/>
  <c r="S10" i="5"/>
  <c r="K10" i="2" s="1"/>
  <c r="Q10" i="5"/>
  <c r="J10" i="2" s="1"/>
  <c r="S12" i="5"/>
  <c r="R12" i="5" s="1"/>
  <c r="Q12" i="5"/>
  <c r="P12" i="5" s="1"/>
  <c r="L9" i="2" l="1"/>
  <c r="M9" i="2"/>
  <c r="K12" i="2"/>
  <c r="J12" i="2"/>
  <c r="U11" i="5"/>
  <c r="T11" i="5" s="1"/>
  <c r="L11" i="2" s="1"/>
  <c r="U12" i="5"/>
  <c r="T12" i="5" s="1"/>
  <c r="L12" i="2" s="1"/>
  <c r="W12" i="5"/>
  <c r="K9" i="2"/>
  <c r="Q11" i="5"/>
  <c r="P11" i="5" s="1"/>
  <c r="J11" i="2" s="1"/>
  <c r="S11" i="5"/>
  <c r="R11" i="5" s="1"/>
  <c r="K11" i="2" s="1"/>
  <c r="W11" i="5"/>
  <c r="I10" i="2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H10" i="2" s="1"/>
  <c r="K10" i="5"/>
  <c r="G10" i="2" s="1"/>
  <c r="I10" i="5"/>
  <c r="F10" i="2" s="1"/>
  <c r="G10" i="5"/>
  <c r="E10" i="2" s="1"/>
  <c r="E10" i="5"/>
  <c r="D10" i="2" s="1"/>
  <c r="V11" i="5" l="1"/>
  <c r="M11" i="2" s="1"/>
  <c r="V12" i="5"/>
  <c r="M12" i="2" s="1"/>
  <c r="I9" i="2"/>
  <c r="O11" i="5"/>
  <c r="M11" i="5"/>
  <c r="K11" i="5"/>
  <c r="I11" i="5"/>
  <c r="G11" i="5"/>
  <c r="E12" i="5"/>
  <c r="I96" i="2" l="1"/>
  <c r="H96" i="2"/>
  <c r="G96" i="2"/>
  <c r="F96" i="2"/>
  <c r="E96" i="2"/>
  <c r="D96" i="2"/>
  <c r="N12" i="5" l="1"/>
  <c r="I12" i="2" s="1"/>
  <c r="L12" i="5"/>
  <c r="J12" i="5"/>
  <c r="H12" i="5"/>
  <c r="F12" i="5"/>
  <c r="D12" i="5"/>
  <c r="N11" i="5"/>
  <c r="I11" i="2" s="1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I95" i="2"/>
  <c r="H95" i="2"/>
  <c r="G95" i="2"/>
  <c r="F95" i="2"/>
  <c r="E95" i="2"/>
  <c r="D95" i="2"/>
  <c r="O95" i="5"/>
  <c r="M95" i="5"/>
  <c r="K95" i="5"/>
  <c r="I95" i="5"/>
  <c r="G95" i="5"/>
  <c r="E95" i="5"/>
  <c r="I83" i="2" l="1"/>
  <c r="H83" i="2"/>
  <c r="G83" i="2"/>
  <c r="F83" i="2"/>
  <c r="E83" i="2"/>
  <c r="D83" i="2"/>
  <c r="O83" i="5"/>
  <c r="M83" i="5"/>
  <c r="K83" i="5"/>
  <c r="I83" i="5"/>
  <c r="G83" i="5"/>
  <c r="E83" i="5"/>
  <c r="O45" i="5" l="1"/>
  <c r="I45" i="2" s="1"/>
  <c r="O44" i="5"/>
  <c r="O42" i="5"/>
  <c r="O40" i="5"/>
  <c r="I40" i="2" s="1"/>
  <c r="O38" i="5"/>
  <c r="I38" i="2" s="1"/>
  <c r="M45" i="5"/>
  <c r="M44" i="5"/>
  <c r="H44" i="2" s="1"/>
  <c r="M42" i="5"/>
  <c r="M40" i="5"/>
  <c r="H40" i="2" s="1"/>
  <c r="M38" i="5"/>
  <c r="H38" i="2" s="1"/>
  <c r="K45" i="5"/>
  <c r="K44" i="5"/>
  <c r="K42" i="5"/>
  <c r="K40" i="5"/>
  <c r="G40" i="2" s="1"/>
  <c r="K38" i="5"/>
  <c r="G38" i="2" s="1"/>
  <c r="I45" i="5"/>
  <c r="I44" i="5"/>
  <c r="I42" i="5"/>
  <c r="I40" i="5"/>
  <c r="F40" i="2" s="1"/>
  <c r="I38" i="5"/>
  <c r="F38" i="2" s="1"/>
  <c r="G45" i="5"/>
  <c r="E45" i="2" s="1"/>
  <c r="G44" i="5"/>
  <c r="G42" i="5"/>
  <c r="G40" i="5"/>
  <c r="E40" i="2" s="1"/>
  <c r="G38" i="5"/>
  <c r="E38" i="2" s="1"/>
  <c r="E45" i="5"/>
  <c r="E44" i="5"/>
  <c r="E40" i="5"/>
  <c r="E38" i="5"/>
  <c r="D38" i="2" s="1"/>
  <c r="I44" i="2"/>
  <c r="H45" i="2"/>
  <c r="G45" i="2"/>
  <c r="G44" i="2"/>
  <c r="F45" i="2"/>
  <c r="F44" i="2"/>
  <c r="E44" i="2"/>
  <c r="D45" i="2"/>
  <c r="D44" i="2"/>
  <c r="D40" i="2"/>
  <c r="I64" i="2" l="1"/>
  <c r="H64" i="2"/>
  <c r="G64" i="2"/>
  <c r="F64" i="2"/>
  <c r="E64" i="2"/>
  <c r="D64" i="2"/>
  <c r="H100" i="2" l="1"/>
  <c r="G100" i="2"/>
  <c r="I100" i="2" l="1"/>
  <c r="F100" i="2" l="1"/>
  <c r="E100" i="2"/>
  <c r="D100" i="2" l="1"/>
  <c r="I63" i="2" l="1"/>
  <c r="H63" i="2"/>
  <c r="G63" i="2"/>
  <c r="F63" i="2"/>
  <c r="E63" i="2"/>
  <c r="D63" i="2"/>
  <c r="I101" i="2" l="1"/>
  <c r="H101" i="2"/>
  <c r="G101" i="2"/>
  <c r="F101" i="2"/>
  <c r="E101" i="2"/>
  <c r="D101" i="2"/>
  <c r="D94" i="2" l="1"/>
  <c r="O96" i="5"/>
  <c r="M96" i="5"/>
  <c r="K96" i="5"/>
  <c r="I96" i="5"/>
  <c r="G96" i="5"/>
  <c r="D75" i="2" l="1"/>
  <c r="E96" i="5"/>
  <c r="I49" i="2" l="1"/>
  <c r="H49" i="2"/>
  <c r="G49" i="2"/>
  <c r="F49" i="2"/>
  <c r="E49" i="2"/>
  <c r="D49" i="2"/>
  <c r="I80" i="2" l="1"/>
  <c r="H80" i="2" l="1"/>
  <c r="G80" i="2" l="1"/>
  <c r="F80" i="2" l="1"/>
  <c r="E80" i="2" l="1"/>
  <c r="D80" i="2" l="1"/>
  <c r="I92" i="2" l="1"/>
  <c r="H92" i="2"/>
  <c r="G92" i="2"/>
  <c r="F92" i="2"/>
  <c r="E92" i="2"/>
  <c r="D92" i="2"/>
  <c r="I82" i="2"/>
  <c r="H82" i="2"/>
  <c r="G82" i="2"/>
  <c r="F82" i="2"/>
  <c r="E82" i="2"/>
  <c r="D82" i="2"/>
  <c r="I54" i="2"/>
  <c r="H54" i="2"/>
  <c r="G54" i="2"/>
  <c r="F54" i="2"/>
  <c r="E54" i="2"/>
  <c r="D54" i="2"/>
  <c r="I14" i="2" l="1"/>
  <c r="H14" i="2"/>
  <c r="H13" i="2"/>
  <c r="G14" i="2"/>
  <c r="G13" i="2"/>
  <c r="F14" i="2"/>
  <c r="F13" i="2"/>
  <c r="E14" i="2"/>
  <c r="E13" i="2"/>
  <c r="F9" i="2" l="1"/>
  <c r="F11" i="2"/>
  <c r="F12" i="2"/>
  <c r="H9" i="2"/>
  <c r="H12" i="2"/>
  <c r="H11" i="2"/>
  <c r="E9" i="2"/>
  <c r="E11" i="2"/>
  <c r="E12" i="2"/>
  <c r="G9" i="2"/>
  <c r="G11" i="2"/>
  <c r="G12" i="2"/>
  <c r="D14" i="2"/>
  <c r="D13" i="2"/>
  <c r="D9" i="2" l="1"/>
  <c r="D11" i="2"/>
  <c r="D12" i="2"/>
  <c r="I99" i="2"/>
  <c r="H99" i="2"/>
  <c r="G99" i="2"/>
  <c r="F99" i="2"/>
  <c r="E99" i="2"/>
  <c r="D99" i="2"/>
  <c r="I98" i="2"/>
  <c r="H98" i="2"/>
  <c r="G98" i="2"/>
  <c r="F98" i="2"/>
  <c r="E98" i="2"/>
  <c r="D98" i="2"/>
  <c r="I94" i="2"/>
  <c r="H94" i="2"/>
  <c r="G94" i="2"/>
  <c r="F94" i="2"/>
  <c r="E94" i="2"/>
  <c r="I93" i="2"/>
  <c r="H93" i="2"/>
  <c r="G93" i="2"/>
  <c r="F93" i="2"/>
  <c r="E93" i="2"/>
  <c r="D93" i="2"/>
  <c r="I91" i="2"/>
  <c r="H91" i="2"/>
  <c r="G91" i="2"/>
  <c r="F91" i="2"/>
  <c r="E91" i="2"/>
  <c r="D91" i="2"/>
  <c r="I90" i="2"/>
  <c r="H90" i="2"/>
  <c r="G90" i="2"/>
  <c r="F90" i="2"/>
  <c r="E90" i="2"/>
  <c r="D90" i="2"/>
  <c r="I89" i="2"/>
  <c r="H89" i="2"/>
  <c r="G89" i="2"/>
  <c r="F89" i="2"/>
  <c r="E89" i="2"/>
  <c r="D89" i="2"/>
  <c r="I88" i="2"/>
  <c r="H88" i="2"/>
  <c r="G88" i="2"/>
  <c r="F88" i="2"/>
  <c r="E88" i="2"/>
  <c r="D88" i="2"/>
  <c r="I87" i="2"/>
  <c r="H87" i="2"/>
  <c r="G87" i="2"/>
  <c r="F87" i="2"/>
  <c r="E87" i="2"/>
  <c r="D87" i="2"/>
  <c r="I86" i="2"/>
  <c r="H86" i="2"/>
  <c r="G86" i="2"/>
  <c r="F86" i="2"/>
  <c r="E86" i="2"/>
  <c r="D86" i="2"/>
  <c r="I85" i="2"/>
  <c r="H85" i="2"/>
  <c r="G85" i="2"/>
  <c r="F85" i="2"/>
  <c r="E85" i="2"/>
  <c r="D85" i="2"/>
  <c r="I84" i="2"/>
  <c r="H84" i="2"/>
  <c r="G84" i="2"/>
  <c r="F84" i="2"/>
  <c r="E84" i="2"/>
  <c r="D84" i="2"/>
  <c r="I81" i="2"/>
  <c r="H81" i="2"/>
  <c r="G81" i="2"/>
  <c r="F81" i="2"/>
  <c r="E81" i="2"/>
  <c r="D81" i="2"/>
  <c r="I79" i="2"/>
  <c r="H79" i="2"/>
  <c r="G79" i="2"/>
  <c r="F79" i="2"/>
  <c r="E79" i="2"/>
  <c r="D79" i="2"/>
  <c r="I78" i="2"/>
  <c r="H78" i="2"/>
  <c r="G78" i="2"/>
  <c r="F78" i="2"/>
  <c r="E78" i="2"/>
  <c r="D78" i="2"/>
  <c r="I75" i="2"/>
  <c r="H75" i="2"/>
  <c r="G75" i="2"/>
  <c r="F75" i="2"/>
  <c r="E75" i="2"/>
  <c r="I74" i="2"/>
  <c r="H74" i="2"/>
  <c r="G74" i="2"/>
  <c r="F74" i="2"/>
  <c r="E74" i="2"/>
  <c r="D74" i="2"/>
  <c r="I73" i="2"/>
  <c r="H73" i="2"/>
  <c r="G73" i="2"/>
  <c r="F73" i="2"/>
  <c r="E73" i="2"/>
  <c r="D73" i="2"/>
  <c r="I72" i="2"/>
  <c r="H72" i="2"/>
  <c r="G72" i="2"/>
  <c r="F72" i="2"/>
  <c r="E72" i="2"/>
  <c r="D72" i="2"/>
  <c r="I71" i="2"/>
  <c r="H71" i="2"/>
  <c r="G71" i="2"/>
  <c r="F71" i="2"/>
  <c r="E71" i="2"/>
  <c r="D71" i="2"/>
  <c r="I70" i="2"/>
  <c r="H70" i="2"/>
  <c r="G70" i="2"/>
  <c r="F70" i="2"/>
  <c r="E70" i="2"/>
  <c r="D70" i="2"/>
  <c r="I66" i="2"/>
  <c r="H66" i="2"/>
  <c r="G66" i="2"/>
  <c r="F66" i="2"/>
  <c r="E66" i="2"/>
  <c r="D66" i="2"/>
  <c r="I65" i="2"/>
  <c r="H65" i="2"/>
  <c r="G65" i="2"/>
  <c r="F65" i="2"/>
  <c r="E65" i="2"/>
  <c r="D65" i="2"/>
  <c r="I62" i="2"/>
  <c r="H62" i="2"/>
  <c r="G62" i="2"/>
  <c r="F62" i="2"/>
  <c r="E62" i="2"/>
  <c r="D62" i="2"/>
  <c r="I61" i="2"/>
  <c r="H61" i="2"/>
  <c r="G61" i="2"/>
  <c r="F61" i="2"/>
  <c r="E61" i="2"/>
  <c r="D61" i="2"/>
  <c r="I60" i="2"/>
  <c r="H60" i="2"/>
  <c r="G60" i="2"/>
  <c r="F60" i="2"/>
  <c r="E60" i="2"/>
  <c r="D60" i="2"/>
  <c r="I59" i="2"/>
  <c r="H59" i="2"/>
  <c r="G59" i="2"/>
  <c r="F59" i="2"/>
  <c r="E59" i="2"/>
  <c r="D59" i="2"/>
  <c r="I56" i="2"/>
  <c r="H56" i="2"/>
  <c r="G56" i="2"/>
  <c r="F56" i="2"/>
  <c r="E56" i="2"/>
  <c r="D56" i="2"/>
  <c r="I55" i="2"/>
  <c r="H55" i="2"/>
  <c r="G55" i="2"/>
  <c r="F55" i="2"/>
  <c r="E55" i="2"/>
  <c r="D55" i="2"/>
  <c r="I53" i="2"/>
  <c r="H53" i="2"/>
  <c r="G53" i="2"/>
  <c r="F53" i="2"/>
  <c r="E53" i="2"/>
  <c r="D53" i="2"/>
  <c r="I52" i="2"/>
  <c r="H52" i="2"/>
  <c r="G52" i="2"/>
  <c r="F52" i="2"/>
  <c r="E52" i="2"/>
  <c r="D52" i="2"/>
  <c r="I51" i="2"/>
  <c r="H51" i="2"/>
  <c r="G51" i="2"/>
  <c r="F51" i="2"/>
  <c r="E51" i="2"/>
  <c r="D51" i="2"/>
  <c r="I50" i="2"/>
  <c r="H50" i="2"/>
  <c r="G50" i="2"/>
  <c r="F50" i="2"/>
  <c r="E50" i="2"/>
  <c r="D50" i="2"/>
  <c r="I48" i="2"/>
  <c r="H48" i="2"/>
  <c r="G48" i="2"/>
  <c r="F48" i="2"/>
  <c r="E48" i="2"/>
  <c r="D48" i="2"/>
  <c r="I47" i="2"/>
  <c r="H47" i="2"/>
  <c r="G47" i="2"/>
  <c r="F47" i="2"/>
  <c r="E47" i="2"/>
  <c r="D47" i="2"/>
  <c r="I46" i="2"/>
  <c r="H46" i="2"/>
  <c r="G46" i="2"/>
  <c r="F46" i="2"/>
  <c r="E46" i="2"/>
  <c r="D46" i="2"/>
  <c r="I43" i="2"/>
  <c r="H43" i="2"/>
  <c r="G43" i="2"/>
  <c r="F43" i="2"/>
  <c r="E43" i="2"/>
  <c r="D43" i="2"/>
  <c r="I42" i="2"/>
  <c r="H42" i="2"/>
  <c r="G42" i="2"/>
  <c r="F42" i="2"/>
  <c r="E42" i="2"/>
  <c r="D42" i="2"/>
  <c r="I41" i="2"/>
  <c r="H41" i="2"/>
  <c r="G41" i="2"/>
  <c r="F41" i="2"/>
  <c r="E41" i="2"/>
  <c r="D41" i="2"/>
  <c r="I39" i="2"/>
  <c r="H39" i="2"/>
  <c r="G39" i="2"/>
  <c r="F39" i="2"/>
  <c r="E39" i="2"/>
  <c r="D39" i="2"/>
  <c r="I37" i="2"/>
  <c r="H37" i="2"/>
  <c r="G37" i="2"/>
  <c r="F37" i="2"/>
  <c r="E37" i="2"/>
  <c r="D37" i="2"/>
  <c r="I36" i="2"/>
  <c r="H36" i="2"/>
  <c r="G36" i="2"/>
  <c r="F36" i="2"/>
  <c r="E36" i="2"/>
  <c r="D36" i="2"/>
  <c r="I35" i="2"/>
  <c r="H35" i="2"/>
  <c r="G35" i="2"/>
  <c r="F35" i="2"/>
  <c r="E35" i="2"/>
  <c r="D35" i="2"/>
  <c r="I34" i="2"/>
  <c r="H34" i="2"/>
  <c r="G34" i="2"/>
  <c r="F34" i="2"/>
  <c r="E34" i="2"/>
  <c r="D34" i="2"/>
  <c r="I33" i="2"/>
  <c r="H33" i="2"/>
  <c r="G33" i="2"/>
  <c r="F33" i="2"/>
  <c r="E33" i="2"/>
  <c r="D33" i="2"/>
  <c r="I32" i="2"/>
  <c r="H32" i="2"/>
  <c r="G32" i="2"/>
  <c r="F32" i="2"/>
  <c r="E32" i="2"/>
  <c r="D32" i="2"/>
  <c r="I31" i="2"/>
  <c r="H31" i="2"/>
  <c r="G31" i="2"/>
  <c r="F31" i="2"/>
  <c r="E31" i="2"/>
  <c r="D31" i="2"/>
  <c r="I30" i="2"/>
  <c r="H30" i="2"/>
  <c r="G30" i="2"/>
  <c r="F30" i="2"/>
  <c r="E30" i="2"/>
  <c r="D30" i="2"/>
  <c r="I29" i="2"/>
  <c r="H29" i="2"/>
  <c r="G29" i="2"/>
  <c r="F29" i="2"/>
  <c r="E29" i="2"/>
  <c r="D29" i="2"/>
  <c r="I28" i="2"/>
  <c r="H28" i="2"/>
  <c r="G28" i="2"/>
  <c r="F28" i="2"/>
  <c r="E28" i="2"/>
  <c r="D28" i="2"/>
  <c r="I27" i="2"/>
  <c r="H27" i="2"/>
  <c r="G27" i="2"/>
  <c r="F27" i="2"/>
  <c r="E27" i="2"/>
  <c r="D27" i="2"/>
  <c r="I26" i="2"/>
  <c r="H26" i="2"/>
  <c r="G26" i="2"/>
  <c r="F26" i="2"/>
  <c r="E26" i="2"/>
  <c r="D26" i="2"/>
  <c r="I24" i="2"/>
  <c r="H24" i="2"/>
  <c r="G24" i="2"/>
  <c r="F24" i="2"/>
  <c r="E24" i="2"/>
  <c r="D24" i="2"/>
  <c r="I23" i="2"/>
  <c r="H23" i="2"/>
  <c r="G23" i="2"/>
  <c r="F23" i="2"/>
  <c r="E23" i="2"/>
  <c r="D23" i="2"/>
  <c r="I22" i="2"/>
  <c r="H22" i="2"/>
  <c r="G22" i="2"/>
  <c r="F22" i="2"/>
  <c r="E22" i="2"/>
  <c r="D22" i="2"/>
  <c r="I21" i="2"/>
  <c r="H21" i="2"/>
  <c r="G21" i="2"/>
  <c r="F21" i="2"/>
  <c r="E21" i="2"/>
  <c r="D21" i="2"/>
  <c r="I20" i="2"/>
  <c r="H20" i="2"/>
  <c r="G20" i="2"/>
  <c r="F20" i="2"/>
  <c r="E20" i="2"/>
  <c r="D20" i="2"/>
  <c r="I19" i="2"/>
  <c r="H19" i="2"/>
  <c r="G19" i="2"/>
  <c r="F19" i="2"/>
  <c r="E19" i="2"/>
  <c r="D19" i="2"/>
  <c r="I18" i="2"/>
  <c r="H18" i="2"/>
  <c r="G18" i="2"/>
  <c r="F18" i="2"/>
  <c r="E18" i="2"/>
  <c r="D18" i="2"/>
  <c r="I16" i="2"/>
  <c r="H16" i="2"/>
  <c r="G16" i="2"/>
  <c r="F16" i="2"/>
  <c r="E16" i="2"/>
  <c r="D16" i="2"/>
  <c r="O75" i="5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I58" i="2" s="1"/>
  <c r="O57" i="5"/>
  <c r="I57" i="2" s="1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I25" i="2" s="1"/>
  <c r="O23" i="5"/>
  <c r="O22" i="5"/>
  <c r="O21" i="5"/>
  <c r="O20" i="5"/>
  <c r="O19" i="5"/>
  <c r="O18" i="5"/>
  <c r="M60" i="5"/>
  <c r="M58" i="5"/>
  <c r="H58" i="2" s="1"/>
  <c r="M57" i="5"/>
  <c r="H57" i="2" s="1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H25" i="2" s="1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E58" i="2" s="1"/>
  <c r="G57" i="5"/>
  <c r="E57" i="2" s="1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E25" i="2" s="1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D58" i="2" s="1"/>
  <c r="E57" i="5"/>
  <c r="D57" i="2" s="1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D25" i="2" s="1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G58" i="2" s="1"/>
  <c r="K57" i="5"/>
  <c r="G57" i="2" s="1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G25" i="2" s="1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F58" i="2" s="1"/>
  <c r="I57" i="5"/>
  <c r="F57" i="2" s="1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F25" i="2" s="1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  <c r="P9" i="2" l="1"/>
  <c r="P19" i="2" s="1"/>
  <c r="Q9" i="2"/>
  <c r="Q29" i="2" s="1"/>
  <c r="R9" i="2"/>
  <c r="R14" i="2" s="1"/>
  <c r="S9" i="2"/>
  <c r="S42" i="2" s="1"/>
  <c r="T9" i="2"/>
  <c r="T16" i="2" s="1"/>
  <c r="U9" i="2"/>
  <c r="U63" i="2" s="1"/>
  <c r="V9" i="2"/>
  <c r="V37" i="2" s="1"/>
  <c r="W9" i="2"/>
  <c r="W38" i="2" s="1"/>
  <c r="X9" i="2"/>
  <c r="X40" i="2" s="1"/>
  <c r="Y9" i="2"/>
  <c r="Y32" i="2" s="1"/>
  <c r="Z9" i="2"/>
  <c r="Z46" i="2" s="1"/>
  <c r="AA9" i="2"/>
  <c r="AB9" i="2"/>
  <c r="AB49" i="2" s="1"/>
  <c r="AC9" i="2"/>
  <c r="AC51" i="2" s="1"/>
  <c r="AD9" i="2"/>
  <c r="AD23" i="2" s="1"/>
  <c r="AE9" i="2"/>
  <c r="AE40" i="2" s="1"/>
  <c r="AF9" i="2"/>
  <c r="AF22" i="2" s="1"/>
  <c r="AA13" i="2"/>
  <c r="AA14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Q50" i="2"/>
  <c r="AA50" i="2"/>
  <c r="AA51" i="2"/>
  <c r="AA52" i="2"/>
  <c r="AC52" i="2"/>
  <c r="AA53" i="2"/>
  <c r="AA54" i="2"/>
  <c r="AA55" i="2"/>
  <c r="AA56" i="2"/>
  <c r="AA57" i="2"/>
  <c r="AA58" i="2"/>
  <c r="AA59" i="2"/>
  <c r="AA60" i="2"/>
  <c r="AA61" i="2"/>
  <c r="AA62" i="2"/>
  <c r="AA63" i="2"/>
  <c r="T64" i="2"/>
  <c r="AA64" i="2"/>
  <c r="AA65" i="2"/>
  <c r="AA66" i="2"/>
  <c r="Z61" i="2" l="1"/>
  <c r="AF64" i="2"/>
  <c r="T56" i="2"/>
  <c r="AC43" i="2"/>
  <c r="W65" i="2"/>
  <c r="W48" i="2"/>
  <c r="V25" i="2"/>
  <c r="V66" i="2"/>
  <c r="P49" i="2"/>
  <c r="R64" i="2"/>
  <c r="S37" i="2"/>
  <c r="AD52" i="2"/>
  <c r="R41" i="2"/>
  <c r="X65" i="2"/>
  <c r="AD58" i="2"/>
  <c r="AB55" i="2"/>
  <c r="AB66" i="2"/>
  <c r="V65" i="2"/>
  <c r="T55" i="2"/>
  <c r="Z16" i="2"/>
  <c r="AF66" i="2"/>
  <c r="AF56" i="2"/>
  <c r="AF48" i="2"/>
  <c r="T41" i="2"/>
  <c r="AF24" i="2"/>
  <c r="Z20" i="2"/>
  <c r="AC66" i="2"/>
  <c r="P66" i="2"/>
  <c r="P65" i="2"/>
  <c r="Q64" i="2"/>
  <c r="Z59" i="2"/>
  <c r="T32" i="2"/>
  <c r="Z65" i="2"/>
  <c r="AF62" i="2"/>
  <c r="T61" i="2"/>
  <c r="AF52" i="2"/>
  <c r="AF47" i="2"/>
  <c r="T35" i="2"/>
  <c r="Z66" i="2"/>
  <c r="Z64" i="2"/>
  <c r="AC62" i="2"/>
  <c r="AF60" i="2"/>
  <c r="Z58" i="2"/>
  <c r="Z30" i="2"/>
  <c r="T30" i="2"/>
  <c r="T66" i="2"/>
  <c r="T62" i="2"/>
  <c r="AC54" i="2"/>
  <c r="Q65" i="2"/>
  <c r="S63" i="2"/>
  <c r="AC61" i="2"/>
  <c r="X60" i="2"/>
  <c r="AC55" i="2"/>
  <c r="W54" i="2"/>
  <c r="Q13" i="2"/>
  <c r="S66" i="2"/>
  <c r="W66" i="2"/>
  <c r="S64" i="2"/>
  <c r="R57" i="2"/>
  <c r="R51" i="2"/>
  <c r="AD45" i="2"/>
  <c r="Q34" i="2"/>
  <c r="AE64" i="2"/>
  <c r="R66" i="2"/>
  <c r="W63" i="2"/>
  <c r="S62" i="2"/>
  <c r="R56" i="2"/>
  <c r="X49" i="2"/>
  <c r="R32" i="2"/>
  <c r="X64" i="2"/>
  <c r="AD60" i="2"/>
  <c r="AD57" i="2"/>
  <c r="X53" i="2"/>
  <c r="X52" i="2"/>
  <c r="AD38" i="2"/>
  <c r="AD35" i="2"/>
  <c r="R33" i="2"/>
  <c r="X63" i="2"/>
  <c r="AC60" i="2"/>
  <c r="R59" i="2"/>
  <c r="AC57" i="2"/>
  <c r="AD54" i="2"/>
  <c r="W53" i="2"/>
  <c r="R52" i="2"/>
  <c r="R48" i="2"/>
  <c r="X46" i="2"/>
  <c r="Y44" i="2"/>
  <c r="AE66" i="2"/>
  <c r="Y66" i="2"/>
  <c r="R62" i="2"/>
  <c r="R61" i="2"/>
  <c r="AD59" i="2"/>
  <c r="X47" i="2"/>
  <c r="X45" i="2"/>
  <c r="X43" i="2"/>
  <c r="AD39" i="2"/>
  <c r="AD36" i="2"/>
  <c r="X24" i="2"/>
  <c r="AD13" i="2"/>
  <c r="AD66" i="2"/>
  <c r="X66" i="2"/>
  <c r="Q66" i="2"/>
  <c r="AD63" i="2"/>
  <c r="AD62" i="2"/>
  <c r="AD61" i="2"/>
  <c r="X58" i="2"/>
  <c r="AD56" i="2"/>
  <c r="R50" i="2"/>
  <c r="R47" i="2"/>
  <c r="AD44" i="2"/>
  <c r="S27" i="2"/>
  <c r="Y64" i="2"/>
  <c r="AE63" i="2"/>
  <c r="AF57" i="2"/>
  <c r="S54" i="2"/>
  <c r="AE52" i="2"/>
  <c r="AF49" i="2"/>
  <c r="AE37" i="2"/>
  <c r="Z36" i="2"/>
  <c r="AE25" i="2"/>
  <c r="AE61" i="2"/>
  <c r="S61" i="2"/>
  <c r="AF58" i="2"/>
  <c r="AF53" i="2"/>
  <c r="AF46" i="2"/>
  <c r="AF39" i="2"/>
  <c r="Z33" i="2"/>
  <c r="Z28" i="2"/>
  <c r="T23" i="2"/>
  <c r="AF59" i="2"/>
  <c r="AF50" i="2"/>
  <c r="Y49" i="2"/>
  <c r="Z42" i="2"/>
  <c r="Z37" i="2"/>
  <c r="T33" i="2"/>
  <c r="T28" i="2"/>
  <c r="Z18" i="2"/>
  <c r="Z63" i="2"/>
  <c r="U61" i="2"/>
  <c r="Z55" i="2"/>
  <c r="Z54" i="2"/>
  <c r="Z53" i="2"/>
  <c r="AF51" i="2"/>
  <c r="Z49" i="2"/>
  <c r="Z45" i="2"/>
  <c r="Z44" i="2"/>
  <c r="Z43" i="2"/>
  <c r="T42" i="2"/>
  <c r="AF40" i="2"/>
  <c r="Z38" i="2"/>
  <c r="T37" i="2"/>
  <c r="T36" i="2"/>
  <c r="Z34" i="2"/>
  <c r="AF31" i="2"/>
  <c r="Q28" i="2"/>
  <c r="W26" i="2"/>
  <c r="Z22" i="2"/>
  <c r="AF19" i="2"/>
  <c r="AF17" i="2"/>
  <c r="Z14" i="2"/>
  <c r="T50" i="2"/>
  <c r="Z48" i="2"/>
  <c r="Z47" i="2"/>
  <c r="AF41" i="2"/>
  <c r="Z39" i="2"/>
  <c r="T38" i="2"/>
  <c r="T34" i="2"/>
  <c r="AF32" i="2"/>
  <c r="Z29" i="2"/>
  <c r="AF23" i="2"/>
  <c r="T22" i="2"/>
  <c r="Z57" i="2"/>
  <c r="T46" i="2"/>
  <c r="T45" i="2"/>
  <c r="T44" i="2"/>
  <c r="T43" i="2"/>
  <c r="Z40" i="2"/>
  <c r="T39" i="2"/>
  <c r="AF37" i="2"/>
  <c r="AF36" i="2"/>
  <c r="Z31" i="2"/>
  <c r="T29" i="2"/>
  <c r="Z27" i="2"/>
  <c r="Z19" i="2"/>
  <c r="AF16" i="2"/>
  <c r="T59" i="2"/>
  <c r="AF54" i="2"/>
  <c r="T54" i="2"/>
  <c r="Z51" i="2"/>
  <c r="U66" i="2"/>
  <c r="AF65" i="2"/>
  <c r="T63" i="2"/>
  <c r="Z62" i="2"/>
  <c r="T60" i="2"/>
  <c r="T58" i="2"/>
  <c r="T53" i="2"/>
  <c r="Z52" i="2"/>
  <c r="T51" i="2"/>
  <c r="T49" i="2"/>
  <c r="T48" i="2"/>
  <c r="T47" i="2"/>
  <c r="AF45" i="2"/>
  <c r="AF44" i="2"/>
  <c r="AF43" i="2"/>
  <c r="AF42" i="2"/>
  <c r="Z41" i="2"/>
  <c r="T40" i="2"/>
  <c r="AF38" i="2"/>
  <c r="Z35" i="2"/>
  <c r="Z32" i="2"/>
  <c r="T27" i="2"/>
  <c r="Z23" i="2"/>
  <c r="Z21" i="2"/>
  <c r="Q19" i="2"/>
  <c r="Z13" i="2"/>
  <c r="U62" i="2"/>
  <c r="W58" i="2"/>
  <c r="W56" i="2"/>
  <c r="W52" i="2"/>
  <c r="Q49" i="2"/>
  <c r="R46" i="2"/>
  <c r="AC33" i="2"/>
  <c r="R20" i="2"/>
  <c r="U57" i="2"/>
  <c r="U56" i="2"/>
  <c r="R43" i="2"/>
  <c r="X39" i="2"/>
  <c r="X38" i="2"/>
  <c r="W36" i="2"/>
  <c r="R35" i="2"/>
  <c r="AD30" i="2"/>
  <c r="Q22" i="2"/>
  <c r="AD65" i="2"/>
  <c r="AD64" i="2"/>
  <c r="AC63" i="2"/>
  <c r="Q62" i="2"/>
  <c r="X61" i="2"/>
  <c r="Q61" i="2"/>
  <c r="X59" i="2"/>
  <c r="AC58" i="2"/>
  <c r="R58" i="2"/>
  <c r="AC56" i="2"/>
  <c r="Q56" i="2"/>
  <c r="AD53" i="2"/>
  <c r="AD51" i="2"/>
  <c r="AD50" i="2"/>
  <c r="AD49" i="2"/>
  <c r="AD47" i="2"/>
  <c r="Q46" i="2"/>
  <c r="X44" i="2"/>
  <c r="X41" i="2"/>
  <c r="X33" i="2"/>
  <c r="X32" i="2"/>
  <c r="X31" i="2"/>
  <c r="R30" i="2"/>
  <c r="AB25" i="2"/>
  <c r="W22" i="2"/>
  <c r="AD20" i="2"/>
  <c r="AC65" i="2"/>
  <c r="R65" i="2"/>
  <c r="AC64" i="2"/>
  <c r="R63" i="2"/>
  <c r="X62" i="2"/>
  <c r="W61" i="2"/>
  <c r="R60" i="2"/>
  <c r="U59" i="2"/>
  <c r="Q58" i="2"/>
  <c r="W57" i="2"/>
  <c r="AD55" i="2"/>
  <c r="R55" i="2"/>
  <c r="X54" i="2"/>
  <c r="AC53" i="2"/>
  <c r="R53" i="2"/>
  <c r="AC49" i="2"/>
  <c r="R49" i="2"/>
  <c r="X48" i="2"/>
  <c r="AD46" i="2"/>
  <c r="W44" i="2"/>
  <c r="Q38" i="2"/>
  <c r="X37" i="2"/>
  <c r="P31" i="2"/>
  <c r="R27" i="2"/>
  <c r="R19" i="2"/>
  <c r="X14" i="2"/>
  <c r="AD43" i="2"/>
  <c r="AD37" i="2"/>
  <c r="R36" i="2"/>
  <c r="AD34" i="2"/>
  <c r="AD28" i="2"/>
  <c r="R26" i="2"/>
  <c r="AD19" i="2"/>
  <c r="AD14" i="2"/>
  <c r="U64" i="2"/>
  <c r="V43" i="2"/>
  <c r="X42" i="2"/>
  <c r="R40" i="2"/>
  <c r="AC35" i="2"/>
  <c r="AC34" i="2"/>
  <c r="AB31" i="2"/>
  <c r="X26" i="2"/>
  <c r="X25" i="2"/>
  <c r="V19" i="2"/>
  <c r="U45" i="2"/>
  <c r="U50" i="2"/>
  <c r="Y23" i="2"/>
  <c r="AB65" i="2"/>
  <c r="T65" i="2"/>
  <c r="W64" i="2"/>
  <c r="AF63" i="2"/>
  <c r="AE62" i="2"/>
  <c r="W62" i="2"/>
  <c r="AF61" i="2"/>
  <c r="Y61" i="2"/>
  <c r="Z60" i="2"/>
  <c r="AC59" i="2"/>
  <c r="T57" i="2"/>
  <c r="Z56" i="2"/>
  <c r="AF55" i="2"/>
  <c r="V55" i="2"/>
  <c r="Q54" i="2"/>
  <c r="T52" i="2"/>
  <c r="W51" i="2"/>
  <c r="Z50" i="2"/>
  <c r="W49" i="2"/>
  <c r="AC48" i="2"/>
  <c r="W47" i="2"/>
  <c r="Q45" i="2"/>
  <c r="AB43" i="2"/>
  <c r="Q42" i="2"/>
  <c r="Q40" i="2"/>
  <c r="W39" i="2"/>
  <c r="AF33" i="2"/>
  <c r="T31" i="2"/>
  <c r="S30" i="2"/>
  <c r="AF28" i="2"/>
  <c r="Y25" i="2"/>
  <c r="T24" i="2"/>
  <c r="T20" i="2"/>
  <c r="W19" i="2"/>
  <c r="Y18" i="2"/>
  <c r="AC29" i="2"/>
  <c r="Y21" i="2"/>
  <c r="W13" i="2"/>
  <c r="U60" i="2"/>
  <c r="W50" i="2"/>
  <c r="AE49" i="2"/>
  <c r="Y47" i="2"/>
  <c r="W45" i="2"/>
  <c r="AC44" i="2"/>
  <c r="U44" i="2"/>
  <c r="P43" i="2"/>
  <c r="R42" i="2"/>
  <c r="W41" i="2"/>
  <c r="R39" i="2"/>
  <c r="U38" i="2"/>
  <c r="AB37" i="2"/>
  <c r="R37" i="2"/>
  <c r="W35" i="2"/>
  <c r="AC30" i="2"/>
  <c r="AD29" i="2"/>
  <c r="AE28" i="2"/>
  <c r="Q27" i="2"/>
  <c r="AD25" i="2"/>
  <c r="R25" i="2"/>
  <c r="Y20" i="2"/>
  <c r="U27" i="2"/>
  <c r="U21" i="2"/>
  <c r="U39" i="2"/>
  <c r="Q63" i="2"/>
  <c r="AB61" i="2"/>
  <c r="V61" i="2"/>
  <c r="P61" i="2"/>
  <c r="Y60" i="2"/>
  <c r="Q60" i="2"/>
  <c r="Y59" i="2"/>
  <c r="Q59" i="2"/>
  <c r="P55" i="2"/>
  <c r="U51" i="2"/>
  <c r="AC50" i="2"/>
  <c r="V49" i="2"/>
  <c r="Q47" i="2"/>
  <c r="W46" i="2"/>
  <c r="AC45" i="2"/>
  <c r="Q44" i="2"/>
  <c r="Q43" i="2"/>
  <c r="W42" i="2"/>
  <c r="Q41" i="2"/>
  <c r="W40" i="2"/>
  <c r="S39" i="2"/>
  <c r="Y37" i="2"/>
  <c r="P37" i="2"/>
  <c r="Y35" i="2"/>
  <c r="Q31" i="2"/>
  <c r="AC28" i="2"/>
  <c r="AC26" i="2"/>
  <c r="S25" i="2"/>
  <c r="W23" i="2"/>
  <c r="Q18" i="2"/>
  <c r="Y16" i="2"/>
  <c r="W60" i="2"/>
  <c r="W59" i="2"/>
  <c r="Q57" i="2"/>
  <c r="Y56" i="2"/>
  <c r="W55" i="2"/>
  <c r="S51" i="2"/>
  <c r="S49" i="2"/>
  <c r="Q48" i="2"/>
  <c r="W43" i="2"/>
  <c r="Q39" i="2"/>
  <c r="P25" i="2"/>
  <c r="U49" i="2"/>
  <c r="U46" i="2"/>
  <c r="U43" i="2"/>
  <c r="AD42" i="2"/>
  <c r="U42" i="2"/>
  <c r="AD41" i="2"/>
  <c r="U41" i="2"/>
  <c r="AD40" i="2"/>
  <c r="U40" i="2"/>
  <c r="AC39" i="2"/>
  <c r="AC38" i="2"/>
  <c r="AC37" i="2"/>
  <c r="W37" i="2"/>
  <c r="Q37" i="2"/>
  <c r="Q36" i="2"/>
  <c r="Q35" i="2"/>
  <c r="X34" i="2"/>
  <c r="W33" i="2"/>
  <c r="AD32" i="2"/>
  <c r="W32" i="2"/>
  <c r="AD31" i="2"/>
  <c r="W31" i="2"/>
  <c r="X30" i="2"/>
  <c r="Q30" i="2"/>
  <c r="X29" i="2"/>
  <c r="X28" i="2"/>
  <c r="AD27" i="2"/>
  <c r="Q26" i="2"/>
  <c r="U25" i="2"/>
  <c r="R24" i="2"/>
  <c r="AC22" i="2"/>
  <c r="AD21" i="2"/>
  <c r="R21" i="2"/>
  <c r="X20" i="2"/>
  <c r="AC19" i="2"/>
  <c r="U17" i="2"/>
  <c r="U14" i="2"/>
  <c r="U65" i="2"/>
  <c r="X57" i="2"/>
  <c r="X56" i="2"/>
  <c r="X55" i="2"/>
  <c r="Q55" i="2"/>
  <c r="R54" i="2"/>
  <c r="Q53" i="2"/>
  <c r="Q52" i="2"/>
  <c r="X51" i="2"/>
  <c r="Q51" i="2"/>
  <c r="X50" i="2"/>
  <c r="AD48" i="2"/>
  <c r="U48" i="2"/>
  <c r="AC47" i="2"/>
  <c r="U47" i="2"/>
  <c r="AC46" i="2"/>
  <c r="R45" i="2"/>
  <c r="R44" i="2"/>
  <c r="AC42" i="2"/>
  <c r="AC41" i="2"/>
  <c r="AC40" i="2"/>
  <c r="R38" i="2"/>
  <c r="X36" i="2"/>
  <c r="AF35" i="2"/>
  <c r="X35" i="2"/>
  <c r="AF34" i="2"/>
  <c r="W34" i="2"/>
  <c r="AD33" i="2"/>
  <c r="U33" i="2"/>
  <c r="AC32" i="2"/>
  <c r="U32" i="2"/>
  <c r="AC31" i="2"/>
  <c r="V31" i="2"/>
  <c r="AF30" i="2"/>
  <c r="W30" i="2"/>
  <c r="AF29" i="2"/>
  <c r="W29" i="2"/>
  <c r="W28" i="2"/>
  <c r="AC27" i="2"/>
  <c r="Z26" i="2"/>
  <c r="AF25" i="2"/>
  <c r="Z25" i="2"/>
  <c r="T25" i="2"/>
  <c r="AD24" i="2"/>
  <c r="Q24" i="2"/>
  <c r="X23" i="2"/>
  <c r="AF20" i="2"/>
  <c r="W20" i="2"/>
  <c r="AB19" i="2"/>
  <c r="T19" i="2"/>
  <c r="T17" i="2"/>
  <c r="AF14" i="2"/>
  <c r="T14" i="2"/>
  <c r="X13" i="2"/>
  <c r="U37" i="2"/>
  <c r="U34" i="2"/>
  <c r="U31" i="2"/>
  <c r="U30" i="2"/>
  <c r="U29" i="2"/>
  <c r="U28" i="2"/>
  <c r="U18" i="2"/>
  <c r="U36" i="2"/>
  <c r="U35" i="2"/>
  <c r="U13" i="2"/>
  <c r="U58" i="2"/>
  <c r="U55" i="2"/>
  <c r="U54" i="2"/>
  <c r="U53" i="2"/>
  <c r="U52" i="2"/>
  <c r="AC36" i="2"/>
  <c r="R34" i="2"/>
  <c r="Q33" i="2"/>
  <c r="Q32" i="2"/>
  <c r="R31" i="2"/>
  <c r="R29" i="2"/>
  <c r="R28" i="2"/>
  <c r="X27" i="2"/>
  <c r="AD26" i="2"/>
  <c r="U26" i="2"/>
  <c r="AC25" i="2"/>
  <c r="W25" i="2"/>
  <c r="Q25" i="2"/>
  <c r="W24" i="2"/>
  <c r="R23" i="2"/>
  <c r="X21" i="2"/>
  <c r="X19" i="2"/>
  <c r="AC13" i="2"/>
  <c r="R13" i="2"/>
  <c r="AE65" i="2"/>
  <c r="Y65" i="2"/>
  <c r="S65" i="2"/>
  <c r="Y63" i="2"/>
  <c r="AE59" i="2"/>
  <c r="S58" i="2"/>
  <c r="AE56" i="2"/>
  <c r="Y54" i="2"/>
  <c r="Y51" i="2"/>
  <c r="AE47" i="2"/>
  <c r="S46" i="2"/>
  <c r="AE44" i="2"/>
  <c r="Y42" i="2"/>
  <c r="Y39" i="2"/>
  <c r="AE35" i="2"/>
  <c r="S34" i="2"/>
  <c r="AE32" i="2"/>
  <c r="Y30" i="2"/>
  <c r="AF27" i="2"/>
  <c r="Y27" i="2"/>
  <c r="T26" i="2"/>
  <c r="AC24" i="2"/>
  <c r="U24" i="2"/>
  <c r="AE23" i="2"/>
  <c r="Q23" i="2"/>
  <c r="Y22" i="2"/>
  <c r="AF21" i="2"/>
  <c r="AE20" i="2"/>
  <c r="Q20" i="2"/>
  <c r="U19" i="2"/>
  <c r="AF18" i="2"/>
  <c r="W18" i="2"/>
  <c r="AE17" i="2"/>
  <c r="S17" i="2"/>
  <c r="U16" i="2"/>
  <c r="S14" i="2"/>
  <c r="T13" i="2"/>
  <c r="Y58" i="2"/>
  <c r="AE54" i="2"/>
  <c r="S53" i="2"/>
  <c r="AE51" i="2"/>
  <c r="S50" i="2"/>
  <c r="Y46" i="2"/>
  <c r="AE42" i="2"/>
  <c r="S41" i="2"/>
  <c r="AE39" i="2"/>
  <c r="S38" i="2"/>
  <c r="Y34" i="2"/>
  <c r="AE30" i="2"/>
  <c r="S29" i="2"/>
  <c r="AE27" i="2"/>
  <c r="S26" i="2"/>
  <c r="AE21" i="2"/>
  <c r="AE18" i="2"/>
  <c r="S13" i="2"/>
  <c r="Y62" i="2"/>
  <c r="S60" i="2"/>
  <c r="AE58" i="2"/>
  <c r="S57" i="2"/>
  <c r="AE55" i="2"/>
  <c r="Y55" i="2"/>
  <c r="S55" i="2"/>
  <c r="Y53" i="2"/>
  <c r="Y50" i="2"/>
  <c r="S48" i="2"/>
  <c r="AE46" i="2"/>
  <c r="S45" i="2"/>
  <c r="AE43" i="2"/>
  <c r="Y43" i="2"/>
  <c r="S43" i="2"/>
  <c r="Y41" i="2"/>
  <c r="Y38" i="2"/>
  <c r="S36" i="2"/>
  <c r="AE34" i="2"/>
  <c r="S33" i="2"/>
  <c r="AE31" i="2"/>
  <c r="Y31" i="2"/>
  <c r="S31" i="2"/>
  <c r="Y29" i="2"/>
  <c r="W27" i="2"/>
  <c r="AF26" i="2"/>
  <c r="Y26" i="2"/>
  <c r="Z24" i="2"/>
  <c r="S24" i="2"/>
  <c r="AC23" i="2"/>
  <c r="U23" i="2"/>
  <c r="AE22" i="2"/>
  <c r="U22" i="2"/>
  <c r="T21" i="2"/>
  <c r="AC20" i="2"/>
  <c r="U20" i="2"/>
  <c r="AE19" i="2"/>
  <c r="Y19" i="2"/>
  <c r="S19" i="2"/>
  <c r="AC18" i="2"/>
  <c r="T18" i="2"/>
  <c r="Z17" i="2"/>
  <c r="AE16" i="2"/>
  <c r="S16" i="2"/>
  <c r="Y14" i="2"/>
  <c r="AF13" i="2"/>
  <c r="Y13" i="2"/>
  <c r="Y57" i="2"/>
  <c r="AE53" i="2"/>
  <c r="S52" i="2"/>
  <c r="AE50" i="2"/>
  <c r="Y48" i="2"/>
  <c r="Y45" i="2"/>
  <c r="AE41" i="2"/>
  <c r="S40" i="2"/>
  <c r="AE38" i="2"/>
  <c r="Y36" i="2"/>
  <c r="Y33" i="2"/>
  <c r="AE29" i="2"/>
  <c r="S28" i="2"/>
  <c r="AE26" i="2"/>
  <c r="Y24" i="2"/>
  <c r="S21" i="2"/>
  <c r="S18" i="2"/>
  <c r="Y17" i="2"/>
  <c r="AE13" i="2"/>
  <c r="AE60" i="2"/>
  <c r="S59" i="2"/>
  <c r="AE57" i="2"/>
  <c r="S56" i="2"/>
  <c r="Y52" i="2"/>
  <c r="AE48" i="2"/>
  <c r="S47" i="2"/>
  <c r="AE45" i="2"/>
  <c r="S44" i="2"/>
  <c r="Y40" i="2"/>
  <c r="AE36" i="2"/>
  <c r="S35" i="2"/>
  <c r="AE33" i="2"/>
  <c r="S32" i="2"/>
  <c r="Y28" i="2"/>
  <c r="AE24" i="2"/>
  <c r="S23" i="2"/>
  <c r="S22" i="2"/>
  <c r="S20" i="2"/>
  <c r="AE14" i="2"/>
  <c r="AB62" i="2"/>
  <c r="V62" i="2"/>
  <c r="P62" i="2"/>
  <c r="AB56" i="2"/>
  <c r="V56" i="2"/>
  <c r="P56" i="2"/>
  <c r="AB50" i="2"/>
  <c r="V50" i="2"/>
  <c r="P50" i="2"/>
  <c r="AB44" i="2"/>
  <c r="V44" i="2"/>
  <c r="P44" i="2"/>
  <c r="AB38" i="2"/>
  <c r="V38" i="2"/>
  <c r="P38" i="2"/>
  <c r="AB32" i="2"/>
  <c r="V32" i="2"/>
  <c r="P32" i="2"/>
  <c r="AB26" i="2"/>
  <c r="V26" i="2"/>
  <c r="P26" i="2"/>
  <c r="AD22" i="2"/>
  <c r="X22" i="2"/>
  <c r="R22" i="2"/>
  <c r="AC21" i="2"/>
  <c r="W21" i="2"/>
  <c r="Q21" i="2"/>
  <c r="AB20" i="2"/>
  <c r="V20" i="2"/>
  <c r="P20" i="2"/>
  <c r="AD16" i="2"/>
  <c r="X16" i="2"/>
  <c r="R16" i="2"/>
  <c r="AC14" i="2"/>
  <c r="W14" i="2"/>
  <c r="Q14" i="2"/>
  <c r="AB13" i="2"/>
  <c r="V13" i="2"/>
  <c r="P13" i="2"/>
  <c r="AB63" i="2"/>
  <c r="V63" i="2"/>
  <c r="P63" i="2"/>
  <c r="AB57" i="2"/>
  <c r="V57" i="2"/>
  <c r="P57" i="2"/>
  <c r="AB51" i="2"/>
  <c r="V51" i="2"/>
  <c r="P51" i="2"/>
  <c r="AB45" i="2"/>
  <c r="V45" i="2"/>
  <c r="P45" i="2"/>
  <c r="AB39" i="2"/>
  <c r="V39" i="2"/>
  <c r="P39" i="2"/>
  <c r="AB33" i="2"/>
  <c r="V33" i="2"/>
  <c r="P33" i="2"/>
  <c r="AB27" i="2"/>
  <c r="V27" i="2"/>
  <c r="P27" i="2"/>
  <c r="AB21" i="2"/>
  <c r="V21" i="2"/>
  <c r="P21" i="2"/>
  <c r="AD17" i="2"/>
  <c r="X17" i="2"/>
  <c r="R17" i="2"/>
  <c r="AC16" i="2"/>
  <c r="W16" i="2"/>
  <c r="Q16" i="2"/>
  <c r="AB14" i="2"/>
  <c r="V14" i="2"/>
  <c r="P14" i="2"/>
  <c r="AB64" i="2"/>
  <c r="V64" i="2"/>
  <c r="P64" i="2"/>
  <c r="AB58" i="2"/>
  <c r="V58" i="2"/>
  <c r="P58" i="2"/>
  <c r="AB52" i="2"/>
  <c r="V52" i="2"/>
  <c r="P52" i="2"/>
  <c r="AB46" i="2"/>
  <c r="V46" i="2"/>
  <c r="P46" i="2"/>
  <c r="AB40" i="2"/>
  <c r="V40" i="2"/>
  <c r="P40" i="2"/>
  <c r="AB34" i="2"/>
  <c r="V34" i="2"/>
  <c r="P34" i="2"/>
  <c r="AB28" i="2"/>
  <c r="V28" i="2"/>
  <c r="P28" i="2"/>
  <c r="AB22" i="2"/>
  <c r="V22" i="2"/>
  <c r="P22" i="2"/>
  <c r="AD18" i="2"/>
  <c r="X18" i="2"/>
  <c r="R18" i="2"/>
  <c r="AC17" i="2"/>
  <c r="W17" i="2"/>
  <c r="Q17" i="2"/>
  <c r="AB16" i="2"/>
  <c r="V16" i="2"/>
  <c r="P16" i="2"/>
  <c r="AB59" i="2"/>
  <c r="V59" i="2"/>
  <c r="P59" i="2"/>
  <c r="AB53" i="2"/>
  <c r="V53" i="2"/>
  <c r="P53" i="2"/>
  <c r="AB47" i="2"/>
  <c r="V47" i="2"/>
  <c r="P47" i="2"/>
  <c r="AB41" i="2"/>
  <c r="V41" i="2"/>
  <c r="P41" i="2"/>
  <c r="AB35" i="2"/>
  <c r="V35" i="2"/>
  <c r="P35" i="2"/>
  <c r="AB29" i="2"/>
  <c r="V29" i="2"/>
  <c r="P29" i="2"/>
  <c r="AB23" i="2"/>
  <c r="V23" i="2"/>
  <c r="P23" i="2"/>
  <c r="AB17" i="2"/>
  <c r="V17" i="2"/>
  <c r="P17" i="2"/>
  <c r="AB60" i="2"/>
  <c r="V60" i="2"/>
  <c r="P60" i="2"/>
  <c r="AB54" i="2"/>
  <c r="V54" i="2"/>
  <c r="P54" i="2"/>
  <c r="AB48" i="2"/>
  <c r="V48" i="2"/>
  <c r="P48" i="2"/>
  <c r="AB42" i="2"/>
  <c r="V42" i="2"/>
  <c r="P42" i="2"/>
  <c r="AB36" i="2"/>
  <c r="V36" i="2"/>
  <c r="P36" i="2"/>
  <c r="AB30" i="2"/>
  <c r="V30" i="2"/>
  <c r="P30" i="2"/>
  <c r="AB24" i="2"/>
  <c r="V24" i="2"/>
  <c r="P24" i="2"/>
  <c r="AB18" i="2"/>
  <c r="V18" i="2"/>
  <c r="P18" i="2"/>
  <c r="AG66" i="2" l="1"/>
  <c r="AG65" i="2"/>
  <c r="AG62" i="2"/>
  <c r="AG61" i="2"/>
  <c r="AG59" i="2"/>
  <c r="AG58" i="2"/>
  <c r="AG57" i="2"/>
  <c r="AG53" i="2"/>
  <c r="AG52" i="2"/>
  <c r="AG51" i="2"/>
  <c r="AG50" i="2"/>
  <c r="AG49" i="2"/>
  <c r="AG48" i="2"/>
  <c r="AG47" i="2"/>
  <c r="AG45" i="2"/>
  <c r="AG44" i="2"/>
  <c r="AG43" i="2"/>
  <c r="AG41" i="2"/>
  <c r="AG40" i="2"/>
  <c r="AG39" i="2"/>
  <c r="AG38" i="2"/>
  <c r="AG37" i="2"/>
  <c r="AG36" i="2"/>
  <c r="AG35" i="2"/>
  <c r="AG34" i="2"/>
  <c r="AG33" i="2"/>
  <c r="AG32" i="2"/>
  <c r="AG30" i="2"/>
  <c r="AG29" i="2"/>
  <c r="AG28" i="2"/>
  <c r="AG27" i="2"/>
  <c r="AG26" i="2"/>
  <c r="AG24" i="2"/>
  <c r="AG23" i="2"/>
  <c r="AG22" i="2"/>
  <c r="AG21" i="2"/>
  <c r="AG20" i="2"/>
  <c r="AG18" i="2"/>
  <c r="AG13" i="2"/>
  <c r="AG60" i="2"/>
  <c r="AG56" i="2"/>
  <c r="AG55" i="2"/>
  <c r="AG46" i="2"/>
  <c r="AG42" i="2"/>
  <c r="AG31" i="2"/>
  <c r="AG54" i="2"/>
  <c r="AG25" i="2"/>
  <c r="AG19" i="2"/>
  <c r="AG14" i="2"/>
  <c r="AG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<sst xmlns="http://schemas.openxmlformats.org/spreadsheetml/2006/main" count="3451" uniqueCount="415">
  <si>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</si>
  <si>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</si>
  <si>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</si>
  <si>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</si>
  <si>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</si>
  <si>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</si>
  <si>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</si>
  <si>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</si>
  <si>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</si>
  <si>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</si>
  <si>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</si>
  <si>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</si>
  <si>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</si>
  <si>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</si>
  <si>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</si>
  <si>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</si>
  <si>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</si>
  <si>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</si>
  <si>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</si>
  <si>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</si>
  <si>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</si>
  <si>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</si>
  <si>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</si>
  <si>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</si>
  <si>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</si>
  <si>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</si>
  <si>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</si>
  <si>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</si>
  <si>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</si>
  <si>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</si>
  <si>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</si>
  <si>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</si>
  <si>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</si>
  <si>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</si>
  <si>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</si>
  <si>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</si>
  <si>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</si>
  <si>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</si>
  <si>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</si>
  <si>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</si>
  <si>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</si>
  <si>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</si>
  <si>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</si>
  <si>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</si>
  <si>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</si>
  <si>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</si>
  <si>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</si>
  <si>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</si>
  <si>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</si>
  <si>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</si>
  <si>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</si>
  <si>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</si>
  <si>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</si>
  <si>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</si>
  <si>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</si>
  <si>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</si>
  <si>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</si>
  <si>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</si>
  <si>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</si>
  <si>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</si>
  <si>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</si>
  <si>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</si>
  <si>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</si>
  <si>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</si>
  <si>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</si>
  <si>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</si>
  <si>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</si>
  <si>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</si>
  <si>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</si>
  <si>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</si>
  <si>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</si>
  <si>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</si>
  <si>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</si>
  <si>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</si>
  <si>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</si>
  <si>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</si>
  <si>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</si>
  <si>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</si>
  <si>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</si>
  <si>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</si>
  <si>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</si>
  <si>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</si>
  <si>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</si>
  <si>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</si>
  <si>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</si>
  <si>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</si>
  <si>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</si>
  <si>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</si>
  <si>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</si>
  <si>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</si>
  <si>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</si>
  <si>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</si>
  <si>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</si>
  <si>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</si>
  <si>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</si>
  <si>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</si>
  <si>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</si>
  <si>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</si>
  <si>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</si>
  <si>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</si>
  <si>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</si>
  <si>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</si>
  <si>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</si>
  <si>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</si>
  <si>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</si>
  <si>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</si>
  <si>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</si>
  <si>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</si>
  <si>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</si>
  <si>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</si>
  <si>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</si>
  <si>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</si>
  <si>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</si>
  <si>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</si>
  <si>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</si>
  <si>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</si>
  <si>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</si>
  <si>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</si>
  <si>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</si>
  <si>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</si>
  <si>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</si>
  <si>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</si>
  <si>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</si>
  <si>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</si>
  <si>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</si>
  <si>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</si>
  <si>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</si>
  <si>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</si>
  <si>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</si>
  <si>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</si>
  <si>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</si>
  <si>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</si>
  <si>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</si>
  <si>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</si>
  <si>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</si>
  <si>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</si>
  <si>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</si>
  <si>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</si>
  <si>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</si>
  <si>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</si>
  <si>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</si>
  <si>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</si>
  <si>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</si>
  <si>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</si>
  <si>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</si>
  <si>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</si>
  <si>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</si>
  <si>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</si>
  <si>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</si>
  <si>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</si>
  <si>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</si>
  <si>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</si>
  <si>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</si>
  <si>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</si>
  <si>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</si>
  <si>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</si>
  <si>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</si>
  <si>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</si>
  <si>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</si>
  <si>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</si>
  <si>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</si>
  <si>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</si>
  <si>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</si>
  <si>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</si>
  <si>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</si>
  <si>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</si>
  <si>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</si>
  <si>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</si>
  <si>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</si>
  <si>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</si>
  <si>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</si>
  <si>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</si>
  <si>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</si>
  <si>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</si>
  <si>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</si>
  <si>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</si>
  <si>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</si>
  <si>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</si>
  <si>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</si>
  <si>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</si>
  <si>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</si>
  <si>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</si>
  <si>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</si>
  <si>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</si>
  <si>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</si>
  <si>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</si>
  <si>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</si>
  <si>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</si>
  <si>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</si>
  <si>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</si>
  <si>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</si>
  <si>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</si>
  <si>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</si>
  <si>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</si>
  <si>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</si>
  <si>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</si>
  <si>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</si>
  <si>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</si>
  <si>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</si>
  <si>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</si>
  <si>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</si>
  <si>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</si>
  <si>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</si>
  <si>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</si>
  <si>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</si>
  <si>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</si>
  <si>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</si>
  <si>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</si>
  <si>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</si>
  <si>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</si>
  <si>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</si>
  <si>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</si>
  <si>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</si>
  <si>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</si>
  <si>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</si>
  <si>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</si>
  <si>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</si>
  <si>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</si>
  <si>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</si>
  <si>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</si>
  <si>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</si>
  <si>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</si>
  <si>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</si>
  <si>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</si>
  <si>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</si>
  <si>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</si>
  <si>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</si>
  <si>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</si>
  <si>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</si>
  <si>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</si>
  <si>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</si>
  <si>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</si>
  <si>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</si>
  <si>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</si>
  <si>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</si>
  <si>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</si>
  <si>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</si>
  <si>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</si>
  <si>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</si>
  <si>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</si>
  <si>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</si>
  <si>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</si>
  <si>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</si>
  <si>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</si>
  <si>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</si>
  <si>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</si>
  <si>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</si>
  <si>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</si>
  <si>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</si>
  <si>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</si>
  <si>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</si>
  <si>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</si>
  <si>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</si>
  <si>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</si>
  <si>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</si>
  <si>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</si>
  <si>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</si>
  <si>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</si>
  <si>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</si>
  <si>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</si>
  <si>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</si>
  <si>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</si>
  <si>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</si>
  <si>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</si>
  <si>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</si>
  <si>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</si>
  <si>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</si>
  <si>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</si>
  <si>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</si>
  <si>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</si>
  <si>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</si>
  <si>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</si>
  <si>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</si>
  <si>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</si>
  <si>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</si>
  <si>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</si>
  <si>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</si>
  <si>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</si>
  <si>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</si>
  <si>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</si>
  <si>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</si>
  <si>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</si>
  <si>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</si>
  <si>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</si>
  <si>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</si>
  <si>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</si>
  <si>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</si>
  <si>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</si>
  <si>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</si>
  <si>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</si>
  <si>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</si>
  <si>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</si>
  <si>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</si>
  <si>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</si>
  <si>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</si>
  <si>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</si>
  <si>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</si>
  <si>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</si>
  <si>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</si>
  <si>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</si>
  <si>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</si>
  <si>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</si>
  <si>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</si>
  <si>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</si>
  <si>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</si>
  <si>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</si>
  <si>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</si>
  <si>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</si>
  <si>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</si>
  <si>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</si>
  <si>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</si>
  <si>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</si>
  <si>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</si>
  <si>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</si>
  <si>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</si>
  <si>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</si>
  <si>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</si>
  <si>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</si>
  <si>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</si>
  <si>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</si>
  <si>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</si>
  <si>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</si>
  <si>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</si>
  <si>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</si>
  <si>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</si>
  <si>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</si>
  <si>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</si>
  <si>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</si>
  <si>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</si>
  <si>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</si>
  <si>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</si>
  <si>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</si>
  <si>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</si>
  <si>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</si>
  <si>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</si>
  <si>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</si>
  <si>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</si>
  <si>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</si>
  <si>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</si>
  <si>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</si>
  <si>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</si>
  <si>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</si>
  <si>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</si>
  <si>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</si>
  <si>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</si>
  <si>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</si>
  <si>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</si>
  <si>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</si>
  <si>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</si>
  <si>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</si>
  <si>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</si>
  <si>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</si>
  <si>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</si>
  <si>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</si>
  <si>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</si>
  <si>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</si>
  <si>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</si>
  <si>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</si>
  <si>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</si>
  <si>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</si>
  <si>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</si>
  <si>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</si>
  <si>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</si>
  <si>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</si>
  <si>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</si>
  <si>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</si>
  <si>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</si>
  <si>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</si>
  <si>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</si>
  <si>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</si>
  <si>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</si>
  <si>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</si>
  <si>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</si>
  <si>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</si>
  <si>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</si>
  <si>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</si>
  <si>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</si>
  <si>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</si>
  <si>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</si>
  <si>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</si>
  <si>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</si>
  <si>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</si>
  <si>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</si>
  <si>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</si>
  <si>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</si>
  <si>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</si>
  <si>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</si>
  <si>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</si>
  <si>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</si>
  <si>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</si>
  <si>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</si>
  <si>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</si>
  <si>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</si>
  <si>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</si>
  <si>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</si>
  <si>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</si>
  <si>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</si>
  <si>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</si>
  <si>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</si>
  <si>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</si>
  <si>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</si>
  <si>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</si>
  <si>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</si>
  <si>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</si>
  <si>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</si>
  <si>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</si>
  <si>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晴/曇</t>
  </si>
  <si>
    <t>曇|晴</t>
  </si>
  <si>
    <t>曇</t>
  </si>
  <si>
    <t>晴|曇</t>
  </si>
  <si>
    <t>曇|雨</t>
  </si>
  <si>
    <t>晴/雨</t>
  </si>
  <si>
    <t>雨/曇</t>
  </si>
  <si>
    <t>雨/晴</t>
  </si>
  <si>
    <t>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</si>
</sst>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6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0" fontId="21" fillId="7" borderId="66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7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66"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topLeftCell="B1" zoomScaleNormal="100" zoomScaleSheetLayoutView="100" workbookViewId="0">
      <selection activeCell="E2" sqref="E2"/>
    </sheetView>
  </sheetViews>
  <sheetFormatPr defaultColWidth="9" defaultRowHeight="9"/>
  <cols>
    <col min="1" max="1" width="3.09765625" style="157" customWidth="1"/>
    <col min="2" max="2" width="25.59765625" style="157" customWidth="1"/>
    <col min="3" max="3" width="6" style="157" customWidth="1"/>
    <col min="4" max="13" width="12.59765625" style="158" customWidth="1"/>
    <col min="14" max="15" width="9.69921875" style="158" hidden="1" customWidth="1"/>
    <col min="16" max="32" width="5.59765625" style="157" hidden="1" customWidth="1"/>
    <col min="33" max="33" width="11.59765625" style="159" hidden="1" customWidth="1"/>
    <col min="34" max="34" width="3.09765625" style="159" customWidth="1"/>
    <col min="35" max="16384" width="9" style="157"/>
  </cols>
  <sheetData>
    <row r="1" spans="1:34"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</row>
    <row r="2" spans="1:34" ht="10.8">
      <c r="A2" s="292">
        <f>EDATE(演算タグ!B1,-3)</f>
        <v>45748</v>
      </c>
      <c r="B2" s="292"/>
      <c r="C2" s="293">
        <f>演算タグ!B1</f>
        <v>45839</v>
      </c>
      <c r="D2" s="293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1:34" ht="11.4" thickBot="1">
      <c r="A3" s="276"/>
      <c r="B3" s="276"/>
      <c r="C3" s="277"/>
      <c r="D3" s="277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</row>
    <row r="4" spans="1:34" ht="11.1" customHeight="1">
      <c r="A4" s="160"/>
      <c r="B4" s="161"/>
      <c r="C4" s="162" t="s">
        <v>87</v>
      </c>
      <c r="D4" s="294" t="s">
        <v>352</v>
      </c>
      <c r="E4" s="310" t="s">
        <v>353</v>
      </c>
      <c r="F4" s="308" t="s">
        <v>358</v>
      </c>
      <c r="G4" s="296" t="s">
        <v>364</v>
      </c>
      <c r="H4" s="306" t="s">
        <v>366</v>
      </c>
      <c r="I4" s="296" t="s">
        <v>369</v>
      </c>
      <c r="J4" s="306" t="s">
        <v>395</v>
      </c>
      <c r="K4" s="296" t="s">
        <v>396</v>
      </c>
      <c r="L4" s="306" t="s">
        <v>397</v>
      </c>
      <c r="M4" s="296" t="s">
        <v>401</v>
      </c>
      <c r="N4" s="290"/>
      <c r="O4" s="316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</row>
    <row r="5" spans="1:34" ht="11.1" customHeight="1">
      <c r="A5" s="163"/>
      <c r="B5" s="164"/>
      <c r="C5" s="165"/>
      <c r="D5" s="295"/>
      <c r="E5" s="311"/>
      <c r="F5" s="309"/>
      <c r="G5" s="297"/>
      <c r="H5" s="307"/>
      <c r="I5" s="297"/>
      <c r="J5" s="307"/>
      <c r="K5" s="297"/>
      <c r="L5" s="307"/>
      <c r="M5" s="297"/>
      <c r="N5" s="291"/>
      <c r="O5" s="317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</row>
    <row r="6" spans="1:34" ht="11.1" customHeight="1">
      <c r="A6" s="163"/>
      <c r="B6" s="166"/>
      <c r="C6" s="167" t="s">
        <v>88</v>
      </c>
      <c r="D6" s="302" t="s">
        <v>350</v>
      </c>
      <c r="E6" s="304" t="s">
        <v>356</v>
      </c>
      <c r="F6" s="300" t="s">
        <v>359</v>
      </c>
      <c r="G6" s="298" t="s">
        <v>363</v>
      </c>
      <c r="H6" s="300" t="s">
        <v>367</v>
      </c>
      <c r="I6" s="298" t="s">
        <v>372</v>
      </c>
      <c r="J6" s="300" t="s">
        <v>398</v>
      </c>
      <c r="K6" s="298" t="s">
        <v>399</v>
      </c>
      <c r="L6" s="314" t="s">
        <v>400</v>
      </c>
      <c r="M6" s="312" t="s">
        <v>404</v>
      </c>
      <c r="N6" s="318"/>
      <c r="O6" s="320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</row>
    <row r="7" spans="1:34" ht="11.1" customHeight="1" thickBot="1">
      <c r="A7" s="168" t="s">
        <v>85</v>
      </c>
      <c r="B7" s="169" t="s">
        <v>86</v>
      </c>
      <c r="C7" s="170"/>
      <c r="D7" s="303"/>
      <c r="E7" s="305"/>
      <c r="F7" s="301"/>
      <c r="G7" s="299"/>
      <c r="H7" s="301"/>
      <c r="I7" s="299"/>
      <c r="J7" s="301"/>
      <c r="K7" s="299"/>
      <c r="L7" s="315"/>
      <c r="M7" s="313"/>
      <c r="N7" s="319"/>
      <c r="O7" s="321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</row>
    <row r="8" spans="1:34" ht="11.1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</row>
    <row r="9" spans="1:34" ht="11.1" customHeight="1">
      <c r="A9" s="175">
        <v>1</v>
      </c>
      <c r="B9" s="176" t="s">
        <v>80</v>
      </c>
      <c r="C9" s="177" t="s">
        <v>75</v>
      </c>
      <c r="D9" s="178" t="str">
        <f>IF(D13="","",IF(演算タグ!D9=0,"",REPLACE(演算タグ!E9,8,0,"/")))</f>
        <v>2025/07/08</v>
      </c>
      <c r="E9" s="178" t="str">
        <f>IF(E13="","",IF(演算タグ!F9=0,"",REPLACE(演算タグ!G9,8,0,"/")))</f>
        <v>2025/07/08</v>
      </c>
      <c r="F9" s="178" t="str">
        <f>IF(F13="","",IF(演算タグ!H9=0,"",REPLACE(演算タグ!I9,8,0,"/")))</f>
        <v>2025/07/08</v>
      </c>
      <c r="G9" s="178" t="str">
        <f>IF(G13="","",IF(演算タグ!J9=0,"",REPLACE(演算タグ!K9,8,0,"/")))</f>
        <v>2025/07/08</v>
      </c>
      <c r="H9" s="178" t="str">
        <f>IF(H13="","",IF(演算タグ!L9=0,"",REPLACE(演算タグ!M9,8,0,"/")))</f>
        <v>2025/07/08</v>
      </c>
      <c r="I9" s="178" t="str">
        <f>IF(I13="","",IF(演算タグ!N9=0,"",REPLACE(演算タグ!O9,8,0,"/")))</f>
        <v>2025/07/08</v>
      </c>
      <c r="J9" s="178" t="str">
        <f>IF(J13="","",IF(演算タグ!P9=0,"",REPLACE(演算タグ!Q9,8,0,"/")))</f>
        <v>2025/07/09</v>
      </c>
      <c r="K9" s="178" t="str">
        <f>IF(K13="","",IF(演算タグ!R9=0,"",REPLACE(演算タグ!S9,8,0,"/")))</f>
        <v>2025/07/09</v>
      </c>
      <c r="L9" s="178" t="str">
        <f>IF(L13="","",IF(演算タグ!T9=0,"",REPLACE(演算タグ!U9,8,0,"/")))</f>
        <v>2025/07/09</v>
      </c>
      <c r="M9" s="178" t="str">
        <f>IF(M13="","",IF(演算タグ!V9=0,"",REPLACE(演算タグ!W9,8,0,"/")))</f>
        <v>2025/07/09</v>
      </c>
      <c r="N9" s="178"/>
      <c r="O9" s="179"/>
      <c r="P9" s="180" t="e">
        <f>#REF!</f>
        <v>#REF!</v>
      </c>
      <c r="Q9" s="181" t="e">
        <f>#REF!</f>
        <v>#REF!</v>
      </c>
      <c r="R9" s="181" t="e">
        <f>#REF!</f>
        <v>#REF!</v>
      </c>
      <c r="S9" s="181" t="e">
        <f>#REF!</f>
        <v>#REF!</v>
      </c>
      <c r="T9" s="181" t="e">
        <f>#REF!</f>
        <v>#REF!</v>
      </c>
      <c r="U9" s="181" t="e">
        <f>#REF!</f>
        <v>#REF!</v>
      </c>
      <c r="V9" s="181" t="e">
        <f>#REF!</f>
        <v>#REF!</v>
      </c>
      <c r="W9" s="181" t="e">
        <f>#REF!</f>
        <v>#REF!</v>
      </c>
      <c r="X9" s="181" t="e">
        <f>#REF!</f>
        <v>#REF!</v>
      </c>
      <c r="Y9" s="181" t="e">
        <f>#REF!</f>
        <v>#REF!</v>
      </c>
      <c r="Z9" s="181" t="e">
        <f>#REF!</f>
        <v>#REF!</v>
      </c>
      <c r="AA9" s="181" t="e">
        <f>#REF!</f>
        <v>#REF!</v>
      </c>
      <c r="AB9" s="181" t="e">
        <f>#REF!</f>
        <v>#REF!</v>
      </c>
      <c r="AC9" s="181" t="e">
        <f>#REF!</f>
        <v>#REF!</v>
      </c>
      <c r="AD9" s="181" t="e">
        <f>#REF!</f>
        <v>#REF!</v>
      </c>
      <c r="AE9" s="181" t="e">
        <f>#REF!</f>
        <v>#REF!</v>
      </c>
      <c r="AF9" s="181" t="e">
        <f>#REF!</f>
        <v>#REF!</v>
      </c>
      <c r="AG9" s="182" t="s">
        <v>46</v>
      </c>
    </row>
    <row r="10" spans="1:34" ht="11.1" customHeight="1">
      <c r="A10" s="183">
        <v>2</v>
      </c>
      <c r="B10" s="184" t="s">
        <v>81</v>
      </c>
      <c r="C10" s="185" t="s">
        <v>75</v>
      </c>
      <c r="D10" s="187" t="str">
        <f>IF(演算タグ!D10=0,"",REPLACE(演算タグ!E10,3,0,":"))</f>
        <v>09:35</v>
      </c>
      <c r="E10" s="188" t="str">
        <f>IF(演算タグ!F10=0,"",REPLACE(演算タグ!G10,3,0,":"))</f>
        <v>10:08</v>
      </c>
      <c r="F10" s="188" t="str">
        <f>IF(演算タグ!H10=0,"",REPLACE(演算タグ!I10,3,0,":"))</f>
        <v>09:52</v>
      </c>
      <c r="G10" s="188" t="str">
        <f>IF(演算タグ!J10=0,"",REPLACE(演算タグ!K10,3,0,":"))</f>
        <v>10:20</v>
      </c>
      <c r="H10" s="188" t="str">
        <f>IF(演算タグ!L10=0,"",REPLACE(演算タグ!M10,3,0,":"))</f>
        <v>09:18</v>
      </c>
      <c r="I10" s="188" t="str">
        <f>IF(演算タグ!N10=0,"",REPLACE(演算タグ!O10,3,0,":"))</f>
        <v>09:08</v>
      </c>
      <c r="J10" s="188" t="str">
        <f>IF(演算タグ!P10=0,"",REPLACE(演算タグ!Q10,3,0,":"))</f>
        <v>09:27</v>
      </c>
      <c r="K10" s="188" t="str">
        <f>IF(演算タグ!R10=0,"",REPLACE(演算タグ!S10,3,0,":"))</f>
        <v>09:43</v>
      </c>
      <c r="L10" s="188" t="str">
        <f>IF(演算タグ!T10=0,"",REPLACE(演算タグ!U10,3,0,":"))</f>
        <v>08:44</v>
      </c>
      <c r="M10" s="188" t="str">
        <f>IF(演算タグ!V10=0,"",REPLACE(演算タグ!W10,3,0,":"))</f>
        <v>09:04</v>
      </c>
      <c r="N10" s="251"/>
      <c r="O10" s="186"/>
      <c r="P10" s="180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2"/>
    </row>
    <row r="11" spans="1:34" ht="11.1" customHeight="1">
      <c r="A11" s="183">
        <v>3</v>
      </c>
      <c r="B11" s="184" t="s">
        <v>82</v>
      </c>
      <c r="C11" s="185" t="s">
        <v>75</v>
      </c>
      <c r="D11" s="187" t="str">
        <f>IF(D13="","",IFERROR(IF(演算タグ!D11="","",演算タグ!D11),""))</f>
        <v>曇|雨</v>
      </c>
      <c r="E11" s="188" t="str">
        <f>IF(E13="","",IFERROR(IF(演算タグ!F11="","",演算タグ!F11),""))</f>
        <v>曇|雨</v>
      </c>
      <c r="F11" s="188" t="str">
        <f>IF(F13="","",IFERROR(IF(演算タグ!H11="","",演算タグ!H11),""))</f>
        <v>曇|雨</v>
      </c>
      <c r="G11" s="188" t="str">
        <f>IF(G13="","",IFERROR(IF(演算タグ!J11="","",演算タグ!J11),""))</f>
        <v>曇|雨</v>
      </c>
      <c r="H11" s="188" t="str">
        <f>IF(H13="","",IFERROR(IF(演算タグ!L11="","",演算タグ!L11),""))</f>
        <v>曇|雨</v>
      </c>
      <c r="I11" s="188" t="str">
        <f>IF(I13="","",IFERROR(IF(演算タグ!N11="","",演算タグ!N11),""))</f>
        <v>曇|雨</v>
      </c>
      <c r="J11" s="188" t="str">
        <f>IF(J13="","",IFERROR(IF(演算タグ!P11="","",演算タグ!P11),""))</f>
        <v>曇|晴</v>
      </c>
      <c r="K11" s="188" t="str">
        <f>IF(K13="","",IFERROR(IF(演算タグ!R11="","",演算タグ!R11),""))</f>
        <v>曇|晴</v>
      </c>
      <c r="L11" s="188" t="str">
        <f>IF(L13="","",IFERROR(IF(演算タグ!T11="","",演算タグ!T11),""))</f>
        <v>曇|晴</v>
      </c>
      <c r="M11" s="188" t="str">
        <f>IF(M13="","",IFERROR(IF(演算タグ!V11="","",演算タグ!V11),""))</f>
        <v>曇|晴</v>
      </c>
      <c r="N11" s="187"/>
      <c r="O11" s="189"/>
      <c r="P11" s="180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2"/>
    </row>
    <row r="12" spans="1:34" ht="11.1" customHeight="1">
      <c r="A12" s="183">
        <v>4</v>
      </c>
      <c r="B12" s="184" t="s">
        <v>83</v>
      </c>
      <c r="C12" s="185" t="s">
        <v>75</v>
      </c>
      <c r="D12" s="187" t="str">
        <f>IF(D13="","",IFERROR(IF(演算タグ!D12="","",演算タグ!D12),""))</f>
        <v>曇|晴</v>
      </c>
      <c r="E12" s="188" t="str">
        <f>IF(E13="","",IFERROR(IF(演算タグ!F12="","",演算タグ!F12),""))</f>
        <v>曇|晴</v>
      </c>
      <c r="F12" s="188" t="str">
        <f>IF(F13="","",IFERROR(IF(演算タグ!H12="","",演算タグ!H12),""))</f>
        <v>曇|晴</v>
      </c>
      <c r="G12" s="188" t="str">
        <f>IF(G13="","",IFERROR(IF(演算タグ!J12="","",演算タグ!J12),""))</f>
        <v>曇|晴</v>
      </c>
      <c r="H12" s="188" t="str">
        <f>IF(H13="","",IFERROR(IF(演算タグ!L12="","",演算タグ!L12),""))</f>
        <v>曇|晴</v>
      </c>
      <c r="I12" s="188" t="str">
        <f>IF(I13="","",IFERROR(IF(演算タグ!N12="","",演算タグ!N12),""))</f>
        <v>曇|晴</v>
      </c>
      <c r="J12" s="188" t="str">
        <f>IF(J13="","",IFERROR(IF(演算タグ!P12="","",演算タグ!P12),""))</f>
        <v>晴/曇</v>
      </c>
      <c r="K12" s="188" t="str">
        <f>IF(K13="","",IFERROR(IF(演算タグ!R12="","",演算タグ!R12),""))</f>
        <v>晴/曇</v>
      </c>
      <c r="L12" s="188" t="str">
        <f>IF(L13="","",IFERROR(IF(演算タグ!T12="","",演算タグ!T12),""))</f>
        <v>晴/曇</v>
      </c>
      <c r="M12" s="188" t="str">
        <f>IF(M13="","",IFERROR(IF(演算タグ!V12="","",演算タグ!V12),""))</f>
        <v>晴/曇</v>
      </c>
      <c r="N12" s="187"/>
      <c r="O12" s="189"/>
      <c r="P12" s="180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2"/>
    </row>
    <row r="13" spans="1:34" ht="11.1" customHeight="1">
      <c r="A13" s="183">
        <v>5</v>
      </c>
      <c r="B13" s="184" t="s">
        <v>44</v>
      </c>
      <c r="C13" s="185" t="s">
        <v>84</v>
      </c>
      <c r="D13" s="190">
        <f>IF(cnt_藤岡北部第１!$BX$5=0,"",演算タグ!D13)</f>
        <v>27.2</v>
      </c>
      <c r="E13" s="191">
        <f>IF(cnt_西市野々!$BX$5=0,"",演算タグ!F13)</f>
        <v>30.5</v>
      </c>
      <c r="F13" s="191">
        <f>IF(cnt_藤岡北部第２!$BX$5=0,"",演算タグ!H13)</f>
        <v>30.2</v>
      </c>
      <c r="G13" s="191">
        <f>IF(cnt_石畳!$BX$5=0,"",演算タグ!J13)</f>
        <v>31.8</v>
      </c>
      <c r="H13" s="191">
        <f>IF(cnt_木瀬浄水!$BX$5=0,"",演算タグ!L13)</f>
        <v>30.8</v>
      </c>
      <c r="I13" s="191">
        <f>IF(cnt_木瀬児童!$BX$5=0,"",演算タグ!N13)</f>
        <v>29.8</v>
      </c>
      <c r="J13" s="191">
        <f>IF(cnt_西中山送配水!$BX$5=0,"",演算タグ!P13)</f>
        <v>29.5</v>
      </c>
      <c r="K13" s="191">
        <f>IF(cnt_西中山水質!$BX$5=0,"",演算タグ!R13)</f>
        <v>32.5</v>
      </c>
      <c r="L13" s="191">
        <f>IF(cnt_上川口!$BX$5=0,"",演算タグ!T13)</f>
        <v>30.5</v>
      </c>
      <c r="M13" s="191">
        <f>IF(cnt_折平!$BX$5=0,"",演算タグ!V13)</f>
        <v>28.2</v>
      </c>
      <c r="N13" s="190"/>
      <c r="O13" s="192"/>
      <c r="P13" s="190" t="str">
        <f>IFERROR(VLOOKUP(P$9,#REF!,2,FALSE),"")</f>
        <v/>
      </c>
      <c r="Q13" s="191" t="str">
        <f>IFERROR(VLOOKUP(Q$9,#REF!,2,FALSE),"")</f>
        <v/>
      </c>
      <c r="R13" s="191" t="str">
        <f>IFERROR(VLOOKUP(R$9,#REF!,2,FALSE),"")</f>
        <v/>
      </c>
      <c r="S13" s="191" t="str">
        <f>IFERROR(VLOOKUP(S$9,#REF!,2,FALSE),"")</f>
        <v/>
      </c>
      <c r="T13" s="191" t="str">
        <f>IFERROR(VLOOKUP(T$9,#REF!,2,FALSE),"")</f>
        <v/>
      </c>
      <c r="U13" s="191" t="str">
        <f>IFERROR(VLOOKUP(U$9,#REF!,2,FALSE),"")</f>
        <v/>
      </c>
      <c r="V13" s="191" t="str">
        <f>IFERROR(VLOOKUP(V$9,#REF!,2,FALSE),"")</f>
        <v/>
      </c>
      <c r="W13" s="191" t="str">
        <f>IFERROR(VLOOKUP(W$9,#REF!,2,FALSE),"")</f>
        <v/>
      </c>
      <c r="X13" s="191" t="str">
        <f>IFERROR(VLOOKUP(X$9,#REF!,2,FALSE),"")</f>
        <v/>
      </c>
      <c r="Y13" s="191" t="str">
        <f>IFERROR(VLOOKUP(Y$9,#REF!,2,FALSE),"")</f>
        <v/>
      </c>
      <c r="Z13" s="191" t="str">
        <f>IFERROR(VLOOKUP(Z$9,#REF!,2,FALSE),"")</f>
        <v/>
      </c>
      <c r="AA13" s="191" t="str">
        <f>IFERROR(VLOOKUP(ACL$9,#REF!,2,FALSE),"")</f>
        <v/>
      </c>
      <c r="AB13" s="191" t="str">
        <f>IFERROR(VLOOKUP(AB$9,#REF!,2,FALSE),"")</f>
        <v/>
      </c>
      <c r="AC13" s="191" t="str">
        <f>IFERROR(VLOOKUP(AC$9,#REF!,2,FALSE),"")</f>
        <v/>
      </c>
      <c r="AD13" s="191" t="str">
        <f>IFERROR(VLOOKUP(AD$9,#REF!,2,FALSE),"")</f>
        <v/>
      </c>
      <c r="AE13" s="191" t="str">
        <f>IFERROR(VLOOKUP(AE$9,#REF!,2,FALSE),"")</f>
        <v/>
      </c>
      <c r="AF13" s="191" t="str">
        <f>IFERROR(VLOOKUP(AF$9,#REF!,2,FALSE),"")</f>
        <v/>
      </c>
      <c r="AG13" s="193" t="e">
        <f>#REF!</f>
        <v>#REF!</v>
      </c>
      <c r="AH13" s="194"/>
    </row>
    <row r="14" spans="1:34" ht="11.1" customHeight="1" thickBot="1">
      <c r="A14" s="195">
        <v>6</v>
      </c>
      <c r="B14" s="196" t="s">
        <v>45</v>
      </c>
      <c r="C14" s="197" t="s">
        <v>84</v>
      </c>
      <c r="D14" s="198">
        <f>IF(cnt_藤岡北部第１!$BY$5=0,"",演算タグ!D14)</f>
        <v>21.9</v>
      </c>
      <c r="E14" s="199">
        <f>IF(cnt_西市野々!$BY$5=0,"",演算タグ!F14)</f>
        <v>25.2</v>
      </c>
      <c r="F14" s="199">
        <f>IF(cnt_藤岡北部第２!$BY$5=0,"",演算タグ!H14)</f>
        <v>24.2</v>
      </c>
      <c r="G14" s="199">
        <f>IF(cnt_石畳!$BY$5=0,"",演算タグ!J14)</f>
        <v>26.4</v>
      </c>
      <c r="H14" s="199">
        <f>IF(cnt_木瀬浄水!$BY$5=0,"",演算タグ!L14)</f>
        <v>23.4</v>
      </c>
      <c r="I14" s="199">
        <f>IF(cnt_木瀬児童!$BY$5=0,"",演算タグ!N14)</f>
        <v>27.9</v>
      </c>
      <c r="J14" s="199">
        <f>IF(cnt_西中山送配水!$BY$5=0,"",演算タグ!P14)</f>
        <v>23.3</v>
      </c>
      <c r="K14" s="199">
        <f>IF(cnt_西中山水質!$BY$5=0,"",演算タグ!R14)</f>
        <v>26.8</v>
      </c>
      <c r="L14" s="199">
        <f>IF(cnt_上川口!$BY$5=0,"",演算タグ!T14)</f>
        <v>22.1</v>
      </c>
      <c r="M14" s="199">
        <f>IF(cnt_折平!$BY$5=0,"",演算タグ!V14)</f>
        <v>26.5</v>
      </c>
      <c r="N14" s="198"/>
      <c r="O14" s="200"/>
      <c r="P14" s="190" t="str">
        <f>IFERROR(VLOOKUP(P$9,#REF!,3,FALSE),"")</f>
        <v/>
      </c>
      <c r="Q14" s="191" t="str">
        <f>IFERROR(VLOOKUP(Q$9,#REF!,3,FALSE),"")</f>
        <v/>
      </c>
      <c r="R14" s="191" t="str">
        <f>IFERROR(VLOOKUP(R$9,#REF!,3,FALSE),"")</f>
        <v/>
      </c>
      <c r="S14" s="191" t="str">
        <f>IFERROR(VLOOKUP(S$9,#REF!,3,FALSE),"")</f>
        <v/>
      </c>
      <c r="T14" s="191" t="str">
        <f>IFERROR(VLOOKUP(T$9,#REF!,3,FALSE),"")</f>
        <v/>
      </c>
      <c r="U14" s="191" t="str">
        <f>IFERROR(VLOOKUP(U$9,#REF!,3,FALSE),"")</f>
        <v/>
      </c>
      <c r="V14" s="191" t="str">
        <f>IFERROR(VLOOKUP(V$9,#REF!,3,FALSE),"")</f>
        <v/>
      </c>
      <c r="W14" s="191" t="str">
        <f>IFERROR(VLOOKUP(W$9,#REF!,3,FALSE),"")</f>
        <v/>
      </c>
      <c r="X14" s="191" t="str">
        <f>IFERROR(VLOOKUP(X$9,#REF!,3,FALSE),"")</f>
        <v/>
      </c>
      <c r="Y14" s="191" t="str">
        <f>IFERROR(VLOOKUP(Y$9,#REF!,3,FALSE),"")</f>
        <v/>
      </c>
      <c r="Z14" s="191" t="str">
        <f>IFERROR(VLOOKUP(Z$9,#REF!,3,FALSE),"")</f>
        <v/>
      </c>
      <c r="AA14" s="191" t="str">
        <f>IFERROR(VLOOKUP(ACL$9,#REF!,3,FALSE),"")</f>
        <v/>
      </c>
      <c r="AB14" s="191" t="str">
        <f>IFERROR(VLOOKUP(AB$9,#REF!,3,FALSE),"")</f>
        <v/>
      </c>
      <c r="AC14" s="191" t="str">
        <f>IFERROR(VLOOKUP(AC$9,#REF!,3,FALSE),"")</f>
        <v/>
      </c>
      <c r="AD14" s="191" t="str">
        <f>IFERROR(VLOOKUP(AD$9,#REF!,3,FALSE),"")</f>
        <v/>
      </c>
      <c r="AE14" s="191" t="str">
        <f>IFERROR(VLOOKUP(AE$9,#REF!,3,FALSE),"")</f>
        <v/>
      </c>
      <c r="AF14" s="191" t="str">
        <f>IFERROR(VLOOKUP(AF$9,#REF!,3,FALSE),"")</f>
        <v/>
      </c>
      <c r="AG14" s="193" t="e">
        <f>#REF!</f>
        <v>#REF!</v>
      </c>
      <c r="AH14" s="194"/>
    </row>
    <row r="15" spans="1:34" ht="11.1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190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3"/>
      <c r="AH15" s="194"/>
    </row>
    <row r="16" spans="1:34" ht="11.1" customHeight="1">
      <c r="A16" s="204">
        <v>1</v>
      </c>
      <c r="B16" s="176" t="s">
        <v>47</v>
      </c>
      <c r="C16" s="205" t="s">
        <v>77</v>
      </c>
      <c r="D16" s="206">
        <f>IF(cnt_藤岡北部第１!$B$5=0,"",演算タグ!D16)</f>
        <v>0</v>
      </c>
      <c r="E16" s="206">
        <f>IF(cnt_西市野々!$B$5=0,"",演算タグ!F16)</f>
        <v>0</v>
      </c>
      <c r="F16" s="206">
        <f>IF(cnt_藤岡北部第２!$B$5=0,"",演算タグ!H16)</f>
        <v>0</v>
      </c>
      <c r="G16" s="206">
        <f>IF(cnt_石畳!$B$5=0,"",演算タグ!J16)</f>
        <v>0</v>
      </c>
      <c r="H16" s="206">
        <f>IF(cnt_木瀬浄水!$B$5=0,"",演算タグ!L16)</f>
        <v>0</v>
      </c>
      <c r="I16" s="206">
        <f>IF(cnt_木瀬児童!$B$5=0,"",演算タグ!N16)</f>
        <v>0</v>
      </c>
      <c r="J16" s="206">
        <f>IF(cnt_西中山送配水!$B$5=0,"",演算タグ!P16)</f>
        <v>0</v>
      </c>
      <c r="K16" s="206">
        <f>IF(cnt_西中山水質!$B$5=0,"",演算タグ!R16)</f>
        <v>0</v>
      </c>
      <c r="L16" s="206">
        <f>IF(cnt_上川口!$B$5=0,"",演算タグ!T16)</f>
        <v>0</v>
      </c>
      <c r="M16" s="206">
        <f>IF(cnt_折平!$B$5=0,"",演算タグ!V16)</f>
        <v>0</v>
      </c>
      <c r="N16" s="252"/>
      <c r="O16" s="206"/>
      <c r="P16" s="187" t="str">
        <f>IFERROR(VLOOKUP(P$9,#REF!,9,FALSE),"")</f>
        <v/>
      </c>
      <c r="Q16" s="188" t="str">
        <f>IFERROR(VLOOKUP(Q$9,#REF!,9,FALSE),"")</f>
        <v/>
      </c>
      <c r="R16" s="188" t="str">
        <f>IFERROR(VLOOKUP(R$9,#REF!,9,FALSE),"")</f>
        <v/>
      </c>
      <c r="S16" s="188" t="str">
        <f>IFERROR(VLOOKUP(S$9,#REF!,9,FALSE),"")</f>
        <v/>
      </c>
      <c r="T16" s="188" t="str">
        <f>IFERROR(VLOOKUP(T$9,#REF!,9,FALSE),"")</f>
        <v/>
      </c>
      <c r="U16" s="188" t="str">
        <f>IFERROR(VLOOKUP(U$9,#REF!,9,FALSE),"")</f>
        <v/>
      </c>
      <c r="V16" s="188" t="str">
        <f>IFERROR(VLOOKUP(V$9,#REF!,9,FALSE),"")</f>
        <v/>
      </c>
      <c r="W16" s="188" t="str">
        <f>IFERROR(VLOOKUP(W$9,#REF!,9,FALSE),"")</f>
        <v/>
      </c>
      <c r="X16" s="188" t="str">
        <f>IFERROR(VLOOKUP(X$9,#REF!,9,FALSE),"")</f>
        <v/>
      </c>
      <c r="Y16" s="188" t="str">
        <f>IFERROR(VLOOKUP(Y$9,#REF!,9,FALSE),"")</f>
        <v/>
      </c>
      <c r="Z16" s="188" t="str">
        <f>IFERROR(VLOOKUP(Z$9,#REF!,9,FALSE),"")</f>
        <v/>
      </c>
      <c r="AA16" s="188" t="str">
        <f>IFERROR(VLOOKUP(ACL$9,#REF!,9,FALSE),"")</f>
        <v/>
      </c>
      <c r="AB16" s="188" t="str">
        <f>IFERROR(VLOOKUP(AB$9,#REF!,9,FALSE),"")</f>
        <v/>
      </c>
      <c r="AC16" s="188" t="str">
        <f>IFERROR(VLOOKUP(AC$9,#REF!,9,FALSE),"")</f>
        <v/>
      </c>
      <c r="AD16" s="188" t="str">
        <f>IFERROR(VLOOKUP(AD$9,#REF!,9,FALSE),"")</f>
        <v/>
      </c>
      <c r="AE16" s="188" t="str">
        <f>IFERROR(VLOOKUP(AE$9,#REF!,9,FALSE),"")</f>
        <v/>
      </c>
      <c r="AF16" s="188" t="str">
        <f>IFERROR(VLOOKUP(AF$9,#REF!,9,FALSE),"")</f>
        <v/>
      </c>
      <c r="AG16" s="193" t="e">
        <f>#REF!</f>
        <v>#REF!</v>
      </c>
      <c r="AH16" s="194"/>
    </row>
    <row r="17" spans="1:34" ht="11.1" customHeight="1">
      <c r="A17" s="207">
        <v>2</v>
      </c>
      <c r="B17" s="184" t="s">
        <v>0</v>
      </c>
      <c r="C17" s="185" t="s">
        <v>75</v>
      </c>
      <c r="D17" s="188" t="str">
        <f>IF(OR(cnt_藤岡北部第１!$C$5=0,cnt_藤岡北部第１!$C$5=""),"",IF(演算タグ!D17=2,"検出","不検出"))</f>
        <v>不検出</v>
      </c>
      <c r="E17" s="188" t="str">
        <f>IF(OR(cnt_西市野々!$C$5=0,cnt_西市野々!$C$5=""),"",IF(演算タグ!F17=2,"検出","不検出"))</f>
        <v>不検出</v>
      </c>
      <c r="F17" s="188" t="str">
        <f>IF(OR(cnt_藤岡北部第２!$C$5=0,cnt_藤岡北部第２!$C$5=""),"",IF(演算タグ!H17=2,"検出","不検出"))</f>
        <v>不検出</v>
      </c>
      <c r="G17" s="188" t="str">
        <f>IF(OR(cnt_石畳!$C$5=0,cnt_石畳!$C$5=""),"",IF(演算タグ!J17=2,"検出","不検出"))</f>
        <v>不検出</v>
      </c>
      <c r="H17" s="188" t="str">
        <f>IF(OR(cnt_木瀬浄水!$C$5=0,cnt_木瀬浄水!$C$5=""),"",IF(演算タグ!L17=2,"検出","不検出"))</f>
        <v>不検出</v>
      </c>
      <c r="I17" s="188" t="str">
        <f>IF(OR(cnt_木瀬児童!$C$5=0,cnt_木瀬児童!$C$5=""),"",IF(演算タグ!N17=2,"検出","不検出"))</f>
        <v>不検出</v>
      </c>
      <c r="J17" s="188" t="str">
        <f>IF(OR(cnt_西中山送配水!$C$5=0,cnt_西中山送配水!$C$5=""),"",IF(演算タグ!P17=2,"検出","不検出"))</f>
        <v>不検出</v>
      </c>
      <c r="K17" s="188" t="str">
        <f>IF(OR(cnt_西中山水質!$C$5=0,cnt_西中山水質!$C$5=""),"",IF(演算タグ!R17=2,"検出","不検出"))</f>
        <v>不検出</v>
      </c>
      <c r="L17" s="188" t="str">
        <f>IF(OR(cnt_上川口!$C$5=0,cnt_上川口!$C$5=""),"",IF(演算タグ!T17=2,"検出","不検出"))</f>
        <v>不検出</v>
      </c>
      <c r="M17" s="188" t="str">
        <f>IF(OR(cnt_折平!$C$5=0,cnt_折平!$C$5=""),"",IF(演算タグ!V17=2,"検出","不検出"))</f>
        <v>不検出</v>
      </c>
      <c r="N17" s="187"/>
      <c r="O17" s="188"/>
      <c r="P17" s="187" t="str">
        <f>IFERROR(VLOOKUP(P$9,#REF!,10,FALSE),"")</f>
        <v/>
      </c>
      <c r="Q17" s="188" t="str">
        <f>IFERROR(VLOOKUP(Q$9,#REF!,10,FALSE),"")</f>
        <v/>
      </c>
      <c r="R17" s="188" t="str">
        <f>IFERROR(VLOOKUP(R$9,#REF!,10,FALSE),"")</f>
        <v/>
      </c>
      <c r="S17" s="188" t="str">
        <f>IFERROR(VLOOKUP(S$9,#REF!,10,FALSE),"")</f>
        <v/>
      </c>
      <c r="T17" s="188" t="str">
        <f>IFERROR(VLOOKUP(T$9,#REF!,10,FALSE),"")</f>
        <v/>
      </c>
      <c r="U17" s="188" t="str">
        <f>IFERROR(VLOOKUP(U$9,#REF!,10,FALSE),"")</f>
        <v/>
      </c>
      <c r="V17" s="188" t="str">
        <f>IFERROR(VLOOKUP(V$9,#REF!,10,FALSE),"")</f>
        <v/>
      </c>
      <c r="W17" s="188" t="str">
        <f>IFERROR(VLOOKUP(W$9,#REF!,10,FALSE),"")</f>
        <v/>
      </c>
      <c r="X17" s="188" t="str">
        <f>IFERROR(VLOOKUP(X$9,#REF!,10,FALSE),"")</f>
        <v/>
      </c>
      <c r="Y17" s="188" t="str">
        <f>IFERROR(VLOOKUP(Y$9,#REF!,10,FALSE),"")</f>
        <v/>
      </c>
      <c r="Z17" s="188" t="str">
        <f>IFERROR(VLOOKUP(Z$9,#REF!,10,FALSE),"")</f>
        <v/>
      </c>
      <c r="AA17" s="188" t="str">
        <f>IFERROR(VLOOKUP(ACL$9,#REF!,10,FALSE),"")</f>
        <v/>
      </c>
      <c r="AB17" s="188" t="str">
        <f>IFERROR(VLOOKUP(AB$9,#REF!,10,FALSE),"")</f>
        <v/>
      </c>
      <c r="AC17" s="188" t="str">
        <f>IFERROR(VLOOKUP(AC$9,#REF!,10,FALSE),"")</f>
        <v/>
      </c>
      <c r="AD17" s="188" t="str">
        <f>IFERROR(VLOOKUP(AD$9,#REF!,10,FALSE),"")</f>
        <v/>
      </c>
      <c r="AE17" s="188" t="str">
        <f>IFERROR(VLOOKUP(AE$9,#REF!,10,FALSE),"")</f>
        <v/>
      </c>
      <c r="AF17" s="188" t="str">
        <f>IFERROR(VLOOKUP(AF$9,#REF!,10,FALSE),"")</f>
        <v/>
      </c>
      <c r="AG17" s="208"/>
      <c r="AH17" s="194"/>
    </row>
    <row r="18" spans="1:34" ht="11.1" customHeight="1">
      <c r="A18" s="207">
        <v>3</v>
      </c>
      <c r="B18" s="184" t="s">
        <v>1</v>
      </c>
      <c r="C18" s="209" t="s">
        <v>78</v>
      </c>
      <c r="D18" s="210" t="str">
        <f>IF(cnt_藤岡北部第１!$D$5=0,"",IF(演算タグ!E18&lt;0.0003,"0.0003未満",演算タグ!E18))</f>
        <v/>
      </c>
      <c r="E18" s="210" t="str">
        <f>IF(cnt_西市野々!$D$5=0,"",IF(演算タグ!G18&lt;0.0003,"0.0003未満",演算タグ!G18))</f>
        <v/>
      </c>
      <c r="F18" s="210" t="str">
        <f>IF(cnt_藤岡北部第２!$D$5=0,"",IF(演算タグ!I18&lt;0.0003,"0.0003未満",演算タグ!I18))</f>
        <v/>
      </c>
      <c r="G18" s="210" t="str">
        <f>IF(cnt_石畳!$D$5=0,"",IF(演算タグ!K18&lt;0.0003,"0.0003未満",演算タグ!K18))</f>
        <v/>
      </c>
      <c r="H18" s="210" t="str">
        <f>IF(cnt_木瀬浄水!$D$5=0,"",IF(演算タグ!M18&lt;0.0003,"0.0003未満",演算タグ!M18))</f>
        <v/>
      </c>
      <c r="I18" s="210" t="str">
        <f>IF(cnt_木瀬児童!$D$5=0,"",IF(演算タグ!O18&lt;0.0003,"0.0003未満",演算タグ!O18))</f>
        <v/>
      </c>
      <c r="J18" s="210" t="str">
        <f>IF(cnt_西中山送配水!$D$5=0,"",IF(演算タグ!Q18&lt;0.0003,"0.0003未満",演算タグ!Q18))</f>
        <v/>
      </c>
      <c r="K18" s="210" t="str">
        <f>IF(cnt_西中山水質!$D$5=0,"",IF(演算タグ!S18&lt;0.0003,"0.0003未満",演算タグ!S18))</f>
        <v/>
      </c>
      <c r="L18" s="210" t="str">
        <f>IF(cnt_上川口!$D$5=0,"",IF(演算タグ!U18&lt;0.0003,"0.0003未満",演算タグ!U18))</f>
        <v/>
      </c>
      <c r="M18" s="210" t="str">
        <f>IF(cnt_折平!$D$5=0,"",IF(演算タグ!W18&lt;0.0003,"0.0003未満",演算タグ!W18))</f>
        <v/>
      </c>
      <c r="N18" s="253"/>
      <c r="O18" s="210"/>
      <c r="P18" s="187" t="str">
        <f>IFERROR(VLOOKUP(P$9,#REF!,12,FALSE),"")</f>
        <v/>
      </c>
      <c r="Q18" s="188" t="str">
        <f>IFERROR(VLOOKUP(Q$9,#REF!,12,FALSE),"")</f>
        <v/>
      </c>
      <c r="R18" s="188" t="str">
        <f>IFERROR(VLOOKUP(R$9,#REF!,12,FALSE),"")</f>
        <v/>
      </c>
      <c r="S18" s="188" t="str">
        <f>IFERROR(VLOOKUP(S$9,#REF!,12,FALSE),"")</f>
        <v/>
      </c>
      <c r="T18" s="188" t="str">
        <f>IFERROR(VLOOKUP(T$9,#REF!,12,FALSE),"")</f>
        <v/>
      </c>
      <c r="U18" s="188" t="str">
        <f>IFERROR(VLOOKUP(U$9,#REF!,12,FALSE),"")</f>
        <v/>
      </c>
      <c r="V18" s="188" t="str">
        <f>IFERROR(VLOOKUP(V$9,#REF!,12,FALSE),"")</f>
        <v/>
      </c>
      <c r="W18" s="188" t="str">
        <f>IFERROR(VLOOKUP(W$9,#REF!,12,FALSE),"")</f>
        <v/>
      </c>
      <c r="X18" s="188" t="str">
        <f>IFERROR(VLOOKUP(X$9,#REF!,12,FALSE),"")</f>
        <v/>
      </c>
      <c r="Y18" s="188" t="str">
        <f>IFERROR(VLOOKUP(Y$9,#REF!,12,FALSE),"")</f>
        <v/>
      </c>
      <c r="Z18" s="188" t="str">
        <f>IFERROR(VLOOKUP(Z$9,#REF!,12,FALSE),"")</f>
        <v/>
      </c>
      <c r="AA18" s="188" t="str">
        <f>IFERROR(VLOOKUP(ACL$9,#REF!,12,FALSE),"")</f>
        <v/>
      </c>
      <c r="AB18" s="188" t="str">
        <f>IFERROR(VLOOKUP(AB$9,#REF!,12,FALSE),"")</f>
        <v/>
      </c>
      <c r="AC18" s="188" t="str">
        <f>IFERROR(VLOOKUP(AC$9,#REF!,12,FALSE),"")</f>
        <v/>
      </c>
      <c r="AD18" s="188" t="str">
        <f>IFERROR(VLOOKUP(AD$9,#REF!,12,FALSE),"")</f>
        <v/>
      </c>
      <c r="AE18" s="188" t="str">
        <f>IFERROR(VLOOKUP(AE$9,#REF!,12,FALSE),"")</f>
        <v/>
      </c>
      <c r="AF18" s="188" t="str">
        <f>IFERROR(VLOOKUP(AF$9,#REF!,12,FALSE),"")</f>
        <v/>
      </c>
      <c r="AG18" s="193" t="e">
        <f>#REF!</f>
        <v>#REF!</v>
      </c>
      <c r="AH18" s="194"/>
    </row>
    <row r="19" spans="1:34" ht="11.1" customHeight="1">
      <c r="A19" s="207">
        <v>4</v>
      </c>
      <c r="B19" s="184" t="s">
        <v>2</v>
      </c>
      <c r="C19" s="209" t="s">
        <v>78</v>
      </c>
      <c r="D19" s="211" t="str">
        <f>IF(cnt_藤岡北部第１!$R$5=0,"",IF(演算タグ!E19&lt;0.00005,"0.00005未満",演算タグ!E19))</f>
        <v/>
      </c>
      <c r="E19" s="211" t="str">
        <f>IF(cnt_西市野々!$R$5=0,"",IF(演算タグ!G19&lt;0.00005,"0.00005未満",演算タグ!G19))</f>
        <v/>
      </c>
      <c r="F19" s="211" t="str">
        <f>IF(cnt_藤岡北部第２!$R$5=0,"",IF(演算タグ!I19&lt;0.00005,"0.00005未満",演算タグ!I19))</f>
        <v/>
      </c>
      <c r="G19" s="211" t="str">
        <f>IF(cnt_石畳!$R$5=0,"",IF(演算タグ!K19&lt;0.00005,"0.00005未満",演算タグ!K19))</f>
        <v/>
      </c>
      <c r="H19" s="211" t="str">
        <f>IF(cnt_木瀬浄水!$R$5=0,"",IF(演算タグ!M19&lt;0.00005,"0.00005未満",演算タグ!M19))</f>
        <v/>
      </c>
      <c r="I19" s="211" t="str">
        <f>IF(cnt_木瀬児童!$R$5=0,"",IF(演算タグ!O19&lt;0.00005,"0.00005未満",演算タグ!O19))</f>
        <v/>
      </c>
      <c r="J19" s="211" t="str">
        <f>IF(cnt_西中山送配水!$R$5=0,"",IF(演算タグ!Q19&lt;0.00005,"0.00005未満",演算タグ!Q19))</f>
        <v/>
      </c>
      <c r="K19" s="211" t="str">
        <f>IF(cnt_西中山水質!$R$5=0,"",IF(演算タグ!S19&lt;0.00005,"0.00005未満",演算タグ!S19))</f>
        <v/>
      </c>
      <c r="L19" s="211" t="str">
        <f>IF(cnt_上川口!$R$5=0,"",IF(演算タグ!U19&lt;0.00005,"0.00005未満",演算タグ!U19))</f>
        <v/>
      </c>
      <c r="M19" s="211" t="str">
        <f>IF(cnt_折平!$R$5=0,"",IF(演算タグ!W19&lt;0.00005,"0.00005未満",演算タグ!W19))</f>
        <v/>
      </c>
      <c r="N19" s="254"/>
      <c r="O19" s="211"/>
      <c r="P19" s="187" t="str">
        <f>IFERROR(VLOOKUP(P$9,#REF!,25,FALSE),"")</f>
        <v/>
      </c>
      <c r="Q19" s="188" t="str">
        <f>IFERROR(VLOOKUP(Q$9,#REF!,25,FALSE),"")</f>
        <v/>
      </c>
      <c r="R19" s="188" t="str">
        <f>IFERROR(VLOOKUP(R$9,#REF!,25,FALSE),"")</f>
        <v/>
      </c>
      <c r="S19" s="188" t="str">
        <f>IFERROR(VLOOKUP(S$9,#REF!,25,FALSE),"")</f>
        <v/>
      </c>
      <c r="T19" s="188" t="str">
        <f>IFERROR(VLOOKUP(T$9,#REF!,25,FALSE),"")</f>
        <v/>
      </c>
      <c r="U19" s="188" t="str">
        <f>IFERROR(VLOOKUP(U$9,#REF!,25,FALSE),"")</f>
        <v/>
      </c>
      <c r="V19" s="188" t="str">
        <f>IFERROR(VLOOKUP(V$9,#REF!,25,FALSE),"")</f>
        <v/>
      </c>
      <c r="W19" s="188" t="str">
        <f>IFERROR(VLOOKUP(W$9,#REF!,25,FALSE),"")</f>
        <v/>
      </c>
      <c r="X19" s="188" t="str">
        <f>IFERROR(VLOOKUP(X$9,#REF!,25,FALSE),"")</f>
        <v/>
      </c>
      <c r="Y19" s="188" t="str">
        <f>IFERROR(VLOOKUP(Y$9,#REF!,25,FALSE),"")</f>
        <v/>
      </c>
      <c r="Z19" s="188" t="str">
        <f>IFERROR(VLOOKUP(Z$9,#REF!,25,FALSE),"")</f>
        <v/>
      </c>
      <c r="AA19" s="188" t="str">
        <f>IFERROR(VLOOKUP(ACL$9,#REF!,25,FALSE),"")</f>
        <v/>
      </c>
      <c r="AB19" s="188" t="str">
        <f>IFERROR(VLOOKUP(AB$9,#REF!,25,FALSE),"")</f>
        <v/>
      </c>
      <c r="AC19" s="188" t="str">
        <f>IFERROR(VLOOKUP(AC$9,#REF!,25,FALSE),"")</f>
        <v/>
      </c>
      <c r="AD19" s="188" t="str">
        <f>IFERROR(VLOOKUP(AD$9,#REF!,25,FALSE),"")</f>
        <v/>
      </c>
      <c r="AE19" s="188" t="str">
        <f>IFERROR(VLOOKUP(AE$9,#REF!,25,FALSE),"")</f>
        <v/>
      </c>
      <c r="AF19" s="188" t="str">
        <f>IFERROR(VLOOKUP(AF$9,#REF!,25,FALSE),"")</f>
        <v/>
      </c>
      <c r="AG19" s="193" t="e">
        <f>#REF!</f>
        <v>#REF!</v>
      </c>
      <c r="AH19" s="194"/>
    </row>
    <row r="20" spans="1:34" ht="11.1" customHeight="1">
      <c r="A20" s="207">
        <v>5</v>
      </c>
      <c r="B20" s="184" t="s">
        <v>3</v>
      </c>
      <c r="C20" s="209" t="s">
        <v>78</v>
      </c>
      <c r="D20" s="212" t="str">
        <f>IF(cnt_藤岡北部第１!$E$5=0,"",IF(演算タグ!E20&lt;0.001,"0.001未満",演算タグ!E20))</f>
        <v/>
      </c>
      <c r="E20" s="212" t="str">
        <f>IF(cnt_西市野々!$E$5=0,"",IF(演算タグ!G20&lt;0.001,"0.001未満",演算タグ!G20))</f>
        <v/>
      </c>
      <c r="F20" s="212" t="str">
        <f>IF(cnt_藤岡北部第２!$E$5=0,"",IF(演算タグ!I20&lt;0.001,"0.001未満",演算タグ!I20))</f>
        <v/>
      </c>
      <c r="G20" s="212" t="str">
        <f>IF(cnt_石畳!$E$5=0,"",IF(演算タグ!K20&lt;0.001,"0.001未満",演算タグ!K20))</f>
        <v/>
      </c>
      <c r="H20" s="212" t="str">
        <f>IF(cnt_木瀬浄水!$E$5=0,"",IF(演算タグ!M20&lt;0.001,"0.001未満",演算タグ!M20))</f>
        <v/>
      </c>
      <c r="I20" s="212" t="str">
        <f>IF(cnt_木瀬児童!$E$5=0,"",IF(演算タグ!O20&lt;0.001,"0.001未満",演算タグ!O20))</f>
        <v/>
      </c>
      <c r="J20" s="212" t="str">
        <f>IF(cnt_西中山送配水!$E$5=0,"",IF(演算タグ!Q20&lt;0.001,"0.001未満",演算タグ!Q20))</f>
        <v/>
      </c>
      <c r="K20" s="212" t="str">
        <f>IF(cnt_西中山水質!$E$5=0,"",IF(演算タグ!S20&lt;0.001,"0.001未満",演算タグ!S20))</f>
        <v/>
      </c>
      <c r="L20" s="212" t="str">
        <f>IF(cnt_上川口!$E$5=0,"",IF(演算タグ!U20&lt;0.001,"0.001未満",演算タグ!U20))</f>
        <v/>
      </c>
      <c r="M20" s="212" t="str">
        <f>IF(cnt_折平!$E$5=0,"",IF(演算タグ!W20&lt;0.001,"0.001未満",演算タグ!W20))</f>
        <v/>
      </c>
      <c r="N20" s="255"/>
      <c r="O20" s="212"/>
      <c r="P20" s="187" t="str">
        <f>IFERROR(VLOOKUP(P$9,#REF!,13,FALSE),"")</f>
        <v/>
      </c>
      <c r="Q20" s="188" t="str">
        <f>IFERROR(VLOOKUP(Q$9,#REF!,13,FALSE),"")</f>
        <v/>
      </c>
      <c r="R20" s="188" t="str">
        <f>IFERROR(VLOOKUP(R$9,#REF!,13,FALSE),"")</f>
        <v/>
      </c>
      <c r="S20" s="188" t="str">
        <f>IFERROR(VLOOKUP(S$9,#REF!,13,FALSE),"")</f>
        <v/>
      </c>
      <c r="T20" s="188" t="str">
        <f>IFERROR(VLOOKUP(T$9,#REF!,13,FALSE),"")</f>
        <v/>
      </c>
      <c r="U20" s="188" t="str">
        <f>IFERROR(VLOOKUP(U$9,#REF!,13,FALSE),"")</f>
        <v/>
      </c>
      <c r="V20" s="188" t="str">
        <f>IFERROR(VLOOKUP(V$9,#REF!,13,FALSE),"")</f>
        <v/>
      </c>
      <c r="W20" s="188" t="str">
        <f>IFERROR(VLOOKUP(W$9,#REF!,13,FALSE),"")</f>
        <v/>
      </c>
      <c r="X20" s="188" t="str">
        <f>IFERROR(VLOOKUP(X$9,#REF!,13,FALSE),"")</f>
        <v/>
      </c>
      <c r="Y20" s="188" t="str">
        <f>IFERROR(VLOOKUP(Y$9,#REF!,13,FALSE),"")</f>
        <v/>
      </c>
      <c r="Z20" s="188" t="str">
        <f>IFERROR(VLOOKUP(Z$9,#REF!,13,FALSE),"")</f>
        <v/>
      </c>
      <c r="AA20" s="188" t="str">
        <f>IFERROR(VLOOKUP(ACL$9,#REF!,13,FALSE),"")</f>
        <v/>
      </c>
      <c r="AB20" s="188" t="str">
        <f>IFERROR(VLOOKUP(AB$9,#REF!,13,FALSE),"")</f>
        <v/>
      </c>
      <c r="AC20" s="188" t="str">
        <f>IFERROR(VLOOKUP(AC$9,#REF!,13,FALSE),"")</f>
        <v/>
      </c>
      <c r="AD20" s="188" t="str">
        <f>IFERROR(VLOOKUP(AD$9,#REF!,13,FALSE),"")</f>
        <v/>
      </c>
      <c r="AE20" s="188" t="str">
        <f>IFERROR(VLOOKUP(AE$9,#REF!,13,FALSE),"")</f>
        <v/>
      </c>
      <c r="AF20" s="188" t="str">
        <f>IFERROR(VLOOKUP(AF$9,#REF!,13,FALSE),"")</f>
        <v/>
      </c>
      <c r="AG20" s="193" t="e">
        <f>#REF!</f>
        <v>#REF!</v>
      </c>
      <c r="AH20" s="194"/>
    </row>
    <row r="21" spans="1:34" ht="11.1" customHeight="1">
      <c r="A21" s="207">
        <v>6</v>
      </c>
      <c r="B21" s="184" t="s">
        <v>4</v>
      </c>
      <c r="C21" s="209" t="s">
        <v>78</v>
      </c>
      <c r="D21" s="212" t="str">
        <f>IF(cnt_藤岡北部第１!$F$5=0,"",IF(演算タグ!E21&lt;0.001,"0.001未満",演算タグ!E21))</f>
        <v/>
      </c>
      <c r="E21" s="212" t="str">
        <f>IF(cnt_西市野々!$F$5=0,"",IF(演算タグ!G21&lt;0.001,"0.001未満",演算タグ!G21))</f>
        <v/>
      </c>
      <c r="F21" s="212" t="str">
        <f>IF(cnt_藤岡北部第２!$F$5=0,"",IF(演算タグ!I21&lt;0.001,"0.001未満",演算タグ!I21))</f>
        <v/>
      </c>
      <c r="G21" s="212" t="str">
        <f>IF(cnt_石畳!$F$5=0,"",IF(演算タグ!K21&lt;0.001,"0.001未満",演算タグ!K21))</f>
        <v/>
      </c>
      <c r="H21" s="212" t="str">
        <f>IF(cnt_木瀬浄水!$F$5=0,"",IF(演算タグ!M21&lt;0.001,"0.001未満",演算タグ!M21))</f>
        <v/>
      </c>
      <c r="I21" s="212" t="str">
        <f>IF(cnt_木瀬児童!$F$5=0,"",IF(演算タグ!O21&lt;0.001,"0.001未満",演算タグ!O21))</f>
        <v/>
      </c>
      <c r="J21" s="212" t="str">
        <f>IF(cnt_西中山送配水!$F$5=0,"",IF(演算タグ!Q21&lt;0.001,"0.001未満",演算タグ!Q21))</f>
        <v/>
      </c>
      <c r="K21" s="212" t="str">
        <f>IF(cnt_西中山水質!$F$5=0,"",IF(演算タグ!S21&lt;0.001,"0.001未満",演算タグ!S21))</f>
        <v/>
      </c>
      <c r="L21" s="212" t="str">
        <f>IF(cnt_上川口!$F$5=0,"",IF(演算タグ!U21&lt;0.001,"0.001未満",演算タグ!U21))</f>
        <v/>
      </c>
      <c r="M21" s="212" t="str">
        <f>IF(cnt_折平!$F$5=0,"",IF(演算タグ!W21&lt;0.001,"0.001未満",演算タグ!W21))</f>
        <v/>
      </c>
      <c r="N21" s="255"/>
      <c r="O21" s="212"/>
      <c r="P21" s="187" t="str">
        <f>IFERROR(VLOOKUP(P$9,#REF!,14,FALSE),"")</f>
        <v/>
      </c>
      <c r="Q21" s="188" t="str">
        <f>IFERROR(VLOOKUP(Q$9,#REF!,14,FALSE),"")</f>
        <v/>
      </c>
      <c r="R21" s="188" t="str">
        <f>IFERROR(VLOOKUP(R$9,#REF!,14,FALSE),"")</f>
        <v/>
      </c>
      <c r="S21" s="188" t="str">
        <f>IFERROR(VLOOKUP(S$9,#REF!,14,FALSE),"")</f>
        <v/>
      </c>
      <c r="T21" s="188" t="str">
        <f>IFERROR(VLOOKUP(T$9,#REF!,14,FALSE),"")</f>
        <v/>
      </c>
      <c r="U21" s="188" t="str">
        <f>IFERROR(VLOOKUP(U$9,#REF!,14,FALSE),"")</f>
        <v/>
      </c>
      <c r="V21" s="188" t="str">
        <f>IFERROR(VLOOKUP(V$9,#REF!,14,FALSE),"")</f>
        <v/>
      </c>
      <c r="W21" s="188" t="str">
        <f>IFERROR(VLOOKUP(W$9,#REF!,14,FALSE),"")</f>
        <v/>
      </c>
      <c r="X21" s="188" t="str">
        <f>IFERROR(VLOOKUP(X$9,#REF!,14,FALSE),"")</f>
        <v/>
      </c>
      <c r="Y21" s="188" t="str">
        <f>IFERROR(VLOOKUP(Y$9,#REF!,14,FALSE),"")</f>
        <v/>
      </c>
      <c r="Z21" s="188" t="str">
        <f>IFERROR(VLOOKUP(Z$9,#REF!,14,FALSE),"")</f>
        <v/>
      </c>
      <c r="AA21" s="188" t="str">
        <f>IFERROR(VLOOKUP(ACL$9,#REF!,14,FALSE),"")</f>
        <v/>
      </c>
      <c r="AB21" s="188" t="str">
        <f>IFERROR(VLOOKUP(AB$9,#REF!,14,FALSE),"")</f>
        <v/>
      </c>
      <c r="AC21" s="188" t="str">
        <f>IFERROR(VLOOKUP(AC$9,#REF!,14,FALSE),"")</f>
        <v/>
      </c>
      <c r="AD21" s="188" t="str">
        <f>IFERROR(VLOOKUP(AD$9,#REF!,14,FALSE),"")</f>
        <v/>
      </c>
      <c r="AE21" s="188" t="str">
        <f>IFERROR(VLOOKUP(AE$9,#REF!,14,FALSE),"")</f>
        <v/>
      </c>
      <c r="AF21" s="188" t="str">
        <f>IFERROR(VLOOKUP(AF$9,#REF!,14,FALSE),"")</f>
        <v/>
      </c>
      <c r="AG21" s="193" t="e">
        <f>#REF!</f>
        <v>#REF!</v>
      </c>
      <c r="AH21" s="194"/>
    </row>
    <row r="22" spans="1:34" ht="11.1" customHeight="1">
      <c r="A22" s="207">
        <v>7</v>
      </c>
      <c r="B22" s="184" t="s">
        <v>5</v>
      </c>
      <c r="C22" s="209" t="s">
        <v>78</v>
      </c>
      <c r="D22" s="212" t="str">
        <f>IF(cnt_藤岡北部第１!$G$5=0,"",IF(演算タグ!E22&lt;0.001,"0.001未満",演算タグ!E22))</f>
        <v/>
      </c>
      <c r="E22" s="212" t="str">
        <f>IF(cnt_西市野々!$G$5=0,"",IF(演算タグ!G22&lt;0.001,"0.001未満",演算タグ!G22))</f>
        <v/>
      </c>
      <c r="F22" s="212" t="str">
        <f>IF(cnt_藤岡北部第２!$G$5=0,"",IF(演算タグ!I22&lt;0.001,"0.001未満",演算タグ!I22))</f>
        <v/>
      </c>
      <c r="G22" s="212" t="str">
        <f>IF(cnt_石畳!$G$5=0,"",IF(演算タグ!K22&lt;0.001,"0.001未満",演算タグ!K22))</f>
        <v/>
      </c>
      <c r="H22" s="212" t="str">
        <f>IF(cnt_木瀬浄水!$G$5=0,"",IF(演算タグ!M22&lt;0.001,"0.001未満",演算タグ!M22))</f>
        <v/>
      </c>
      <c r="I22" s="212" t="str">
        <f>IF(cnt_木瀬児童!$G$5=0,"",IF(演算タグ!O22&lt;0.001,"0.001未満",演算タグ!O22))</f>
        <v/>
      </c>
      <c r="J22" s="212" t="str">
        <f>IF(cnt_西中山送配水!$G$5=0,"",IF(演算タグ!Q22&lt;0.001,"0.001未満",演算タグ!Q22))</f>
        <v/>
      </c>
      <c r="K22" s="212" t="str">
        <f>IF(cnt_西中山水質!$G$5=0,"",IF(演算タグ!S22&lt;0.001,"0.001未満",演算タグ!S22))</f>
        <v/>
      </c>
      <c r="L22" s="212" t="str">
        <f>IF(cnt_上川口!$G$5=0,"",IF(演算タグ!U22&lt;0.001,"0.001未満",演算タグ!U22))</f>
        <v/>
      </c>
      <c r="M22" s="212" t="str">
        <f>IF(cnt_折平!$G$5=0,"",IF(演算タグ!W22&lt;0.001,"0.001未満",演算タグ!W22))</f>
        <v/>
      </c>
      <c r="N22" s="255"/>
      <c r="O22" s="212"/>
      <c r="P22" s="187" t="str">
        <f>IFERROR(VLOOKUP(P$9,#REF!,15,FALSE),"")</f>
        <v/>
      </c>
      <c r="Q22" s="188" t="str">
        <f>IFERROR(VLOOKUP(Q$9,#REF!,15,FALSE),"")</f>
        <v/>
      </c>
      <c r="R22" s="188" t="str">
        <f>IFERROR(VLOOKUP(R$9,#REF!,15,FALSE),"")</f>
        <v/>
      </c>
      <c r="S22" s="188" t="str">
        <f>IFERROR(VLOOKUP(S$9,#REF!,15,FALSE),"")</f>
        <v/>
      </c>
      <c r="T22" s="188" t="str">
        <f>IFERROR(VLOOKUP(T$9,#REF!,15,FALSE),"")</f>
        <v/>
      </c>
      <c r="U22" s="188" t="str">
        <f>IFERROR(VLOOKUP(U$9,#REF!,15,FALSE),"")</f>
        <v/>
      </c>
      <c r="V22" s="188" t="str">
        <f>IFERROR(VLOOKUP(V$9,#REF!,15,FALSE),"")</f>
        <v/>
      </c>
      <c r="W22" s="188" t="str">
        <f>IFERROR(VLOOKUP(W$9,#REF!,15,FALSE),"")</f>
        <v/>
      </c>
      <c r="X22" s="188" t="str">
        <f>IFERROR(VLOOKUP(X$9,#REF!,15,FALSE),"")</f>
        <v/>
      </c>
      <c r="Y22" s="188" t="str">
        <f>IFERROR(VLOOKUP(Y$9,#REF!,15,FALSE),"")</f>
        <v/>
      </c>
      <c r="Z22" s="188" t="str">
        <f>IFERROR(VLOOKUP(Z$9,#REF!,15,FALSE),"")</f>
        <v/>
      </c>
      <c r="AA22" s="188" t="str">
        <f>IFERROR(VLOOKUP(ACL$9,#REF!,15,FALSE),"")</f>
        <v/>
      </c>
      <c r="AB22" s="188" t="str">
        <f>IFERROR(VLOOKUP(AB$9,#REF!,15,FALSE),"")</f>
        <v/>
      </c>
      <c r="AC22" s="188" t="str">
        <f>IFERROR(VLOOKUP(AC$9,#REF!,15,FALSE),"")</f>
        <v/>
      </c>
      <c r="AD22" s="188" t="str">
        <f>IFERROR(VLOOKUP(AD$9,#REF!,15,FALSE),"")</f>
        <v/>
      </c>
      <c r="AE22" s="188" t="str">
        <f>IFERROR(VLOOKUP(AE$9,#REF!,15,FALSE),"")</f>
        <v/>
      </c>
      <c r="AF22" s="188" t="str">
        <f>IFERROR(VLOOKUP(AF$9,#REF!,15,FALSE),"")</f>
        <v/>
      </c>
      <c r="AG22" s="193" t="e">
        <f>#REF!</f>
        <v>#REF!</v>
      </c>
      <c r="AH22" s="194"/>
    </row>
    <row r="23" spans="1:34" ht="11.1" customHeight="1">
      <c r="A23" s="207">
        <v>8</v>
      </c>
      <c r="B23" s="184" t="s">
        <v>6</v>
      </c>
      <c r="C23" s="209" t="s">
        <v>78</v>
      </c>
      <c r="D23" s="212" t="str">
        <f>IF(cnt_藤岡北部第１!$H$5=0,"",IF(演算タグ!E23&lt;0.005,"0.005未満",演算タグ!E23))</f>
        <v/>
      </c>
      <c r="E23" s="212" t="str">
        <f>IF(cnt_西市野々!$H$5=0,"",IF(演算タグ!G23&lt;0.005,"0.005未満",演算タグ!G23))</f>
        <v/>
      </c>
      <c r="F23" s="212" t="str">
        <f>IF(cnt_藤岡北部第２!$H$5=0,"",IF(演算タグ!I23&lt;0.005,"0.005未満",演算タグ!I23))</f>
        <v/>
      </c>
      <c r="G23" s="212" t="str">
        <f>IF(cnt_石畳!$H$5=0,"",IF(演算タグ!K23&lt;0.005,"0.005未満",演算タグ!K23))</f>
        <v/>
      </c>
      <c r="H23" s="212" t="str">
        <f>IF(cnt_木瀬浄水!$H$5=0,"",IF(演算タグ!M23&lt;0.005,"0.005未満",演算タグ!M23))</f>
        <v/>
      </c>
      <c r="I23" s="212" t="str">
        <f>IF(cnt_木瀬児童!$H$5=0,"",IF(演算タグ!O23&lt;0.005,"0.005未満",演算タグ!O23))</f>
        <v/>
      </c>
      <c r="J23" s="212" t="str">
        <f>IF(cnt_西中山送配水!$H$5=0,"",IF(演算タグ!Q23&lt;0.005,"0.005未満",演算タグ!Q23))</f>
        <v/>
      </c>
      <c r="K23" s="212" t="str">
        <f>IF(cnt_西中山水質!$H$5=0,"",IF(演算タグ!S23&lt;0.005,"0.005未満",演算タグ!S23))</f>
        <v/>
      </c>
      <c r="L23" s="212" t="str">
        <f>IF(cnt_上川口!$H$5=0,"",IF(演算タグ!U23&lt;0.005,"0.005未満",演算タグ!U23))</f>
        <v/>
      </c>
      <c r="M23" s="212" t="str">
        <f>IF(cnt_折平!$H$5=0,"",IF(演算タグ!W23&lt;0.005,"0.005未満",演算タグ!W23))</f>
        <v/>
      </c>
      <c r="N23" s="255"/>
      <c r="O23" s="212"/>
      <c r="P23" s="187" t="str">
        <f>IFERROR(VLOOKUP(P$9,#REF!,16,FALSE),"")</f>
        <v/>
      </c>
      <c r="Q23" s="188" t="str">
        <f>IFERROR(VLOOKUP(Q$9,#REF!,16,FALSE),"")</f>
        <v/>
      </c>
      <c r="R23" s="188" t="str">
        <f>IFERROR(VLOOKUP(R$9,#REF!,16,FALSE),"")</f>
        <v/>
      </c>
      <c r="S23" s="188" t="str">
        <f>IFERROR(VLOOKUP(S$9,#REF!,16,FALSE),"")</f>
        <v/>
      </c>
      <c r="T23" s="188" t="str">
        <f>IFERROR(VLOOKUP(T$9,#REF!,16,FALSE),"")</f>
        <v/>
      </c>
      <c r="U23" s="188" t="str">
        <f>IFERROR(VLOOKUP(U$9,#REF!,16,FALSE),"")</f>
        <v/>
      </c>
      <c r="V23" s="188" t="str">
        <f>IFERROR(VLOOKUP(V$9,#REF!,16,FALSE),"")</f>
        <v/>
      </c>
      <c r="W23" s="188" t="str">
        <f>IFERROR(VLOOKUP(W$9,#REF!,16,FALSE),"")</f>
        <v/>
      </c>
      <c r="X23" s="188" t="str">
        <f>IFERROR(VLOOKUP(X$9,#REF!,16,FALSE),"")</f>
        <v/>
      </c>
      <c r="Y23" s="188" t="str">
        <f>IFERROR(VLOOKUP(Y$9,#REF!,16,FALSE),"")</f>
        <v/>
      </c>
      <c r="Z23" s="188" t="str">
        <f>IFERROR(VLOOKUP(Z$9,#REF!,16,FALSE),"")</f>
        <v/>
      </c>
      <c r="AA23" s="188" t="str">
        <f>IFERROR(VLOOKUP(ACL$9,#REF!,16,FALSE),"")</f>
        <v/>
      </c>
      <c r="AB23" s="188" t="str">
        <f>IFERROR(VLOOKUP(AB$9,#REF!,16,FALSE),"")</f>
        <v/>
      </c>
      <c r="AC23" s="188" t="str">
        <f>IFERROR(VLOOKUP(AC$9,#REF!,16,FALSE),"")</f>
        <v/>
      </c>
      <c r="AD23" s="188" t="str">
        <f>IFERROR(VLOOKUP(AD$9,#REF!,16,FALSE),"")</f>
        <v/>
      </c>
      <c r="AE23" s="188" t="str">
        <f>IFERROR(VLOOKUP(AE$9,#REF!,16,FALSE),"")</f>
        <v/>
      </c>
      <c r="AF23" s="188" t="str">
        <f>IFERROR(VLOOKUP(AF$9,#REF!,16,FALSE),"")</f>
        <v/>
      </c>
      <c r="AG23" s="193" t="e">
        <f>#REF!</f>
        <v>#REF!</v>
      </c>
      <c r="AH23" s="194"/>
    </row>
    <row r="24" spans="1:34" ht="11.1" customHeight="1">
      <c r="A24" s="207">
        <v>9</v>
      </c>
      <c r="B24" s="184" t="s">
        <v>7</v>
      </c>
      <c r="C24" s="209" t="s">
        <v>78</v>
      </c>
      <c r="D24" s="212" t="str">
        <f>IF(cnt_藤岡北部第１!$W$5=0,"",IF(演算タグ!D24&lt;0.004,"0.004未満",演算タグ!D24))</f>
        <v>0.004未満</v>
      </c>
      <c r="E24" s="212" t="str">
        <f>IF(cnt_西市野々!$W$5=0,"",IF(演算タグ!F24&lt;0.004,"0.004未満",演算タグ!F24))</f>
        <v>0.004未満</v>
      </c>
      <c r="F24" s="212" t="str">
        <f>IF(cnt_藤岡北部第２!$W$5=0,"",IF(演算タグ!H24&lt;0.004,"0.004未満",演算タグ!H24))</f>
        <v>0.004未満</v>
      </c>
      <c r="G24" s="212" t="str">
        <f>IF(cnt_石畳!$W$5=0,"",IF(演算タグ!J24&lt;0.004,"0.004未満",演算タグ!J24))</f>
        <v>0.004未満</v>
      </c>
      <c r="H24" s="212" t="str">
        <f>IF(cnt_木瀬浄水!$W$5=0,"",IF(演算タグ!L24&lt;0.004,"0.004未満",演算タグ!L24))</f>
        <v>0.004未満</v>
      </c>
      <c r="I24" s="212" t="str">
        <f>IF(cnt_木瀬児童!$W$5=0,"",IF(演算タグ!N24&lt;0.004,"0.004未満",演算タグ!N24))</f>
        <v>0.004未満</v>
      </c>
      <c r="J24" s="212" t="str">
        <f>IF(cnt_西中山送配水!$W$5=0,"",IF(演算タグ!P24&lt;0.004,"0.004未満",演算タグ!P24))</f>
        <v>0.004未満</v>
      </c>
      <c r="K24" s="212" t="str">
        <f>IF(cnt_西中山水質!$W$5=0,"",IF(演算タグ!R24&lt;0.004,"0.004未満",演算タグ!R24))</f>
        <v>0.004未満</v>
      </c>
      <c r="L24" s="212" t="str">
        <f>IF(cnt_上川口!$W$5=0,"",IF(演算タグ!T24&lt;0.004,"0.004未満",演算タグ!T24))</f>
        <v>0.004未満</v>
      </c>
      <c r="M24" s="212" t="str">
        <f>IF(cnt_折平!$W$5=0,"",IF(演算タグ!V24&lt;0.004,"0.004未満",演算タグ!V24))</f>
        <v>0.004未満</v>
      </c>
      <c r="N24" s="255"/>
      <c r="O24" s="212"/>
      <c r="P24" s="187" t="str">
        <f>IFERROR(VLOOKUP(P$9,#REF!,34,FALSE),"")</f>
        <v/>
      </c>
      <c r="Q24" s="188" t="str">
        <f>IFERROR(VLOOKUP(Q$9,#REF!,34,FALSE),"")</f>
        <v/>
      </c>
      <c r="R24" s="188" t="str">
        <f>IFERROR(VLOOKUP(R$9,#REF!,34,FALSE),"")</f>
        <v/>
      </c>
      <c r="S24" s="188" t="str">
        <f>IFERROR(VLOOKUP(S$9,#REF!,34,FALSE),"")</f>
        <v/>
      </c>
      <c r="T24" s="188" t="str">
        <f>IFERROR(VLOOKUP(T$9,#REF!,34,FALSE),"")</f>
        <v/>
      </c>
      <c r="U24" s="188" t="str">
        <f>IFERROR(VLOOKUP(U$9,#REF!,34,FALSE),"")</f>
        <v/>
      </c>
      <c r="V24" s="188" t="str">
        <f>IFERROR(VLOOKUP(V$9,#REF!,34,FALSE),"")</f>
        <v/>
      </c>
      <c r="W24" s="188" t="str">
        <f>IFERROR(VLOOKUP(W$9,#REF!,34,FALSE),"")</f>
        <v/>
      </c>
      <c r="X24" s="188" t="str">
        <f>IFERROR(VLOOKUP(X$9,#REF!,34,FALSE),"")</f>
        <v/>
      </c>
      <c r="Y24" s="188" t="str">
        <f>IFERROR(VLOOKUP(Y$9,#REF!,34,FALSE),"")</f>
        <v/>
      </c>
      <c r="Z24" s="188" t="str">
        <f>IFERROR(VLOOKUP(Z$9,#REF!,34,FALSE),"")</f>
        <v/>
      </c>
      <c r="AA24" s="188" t="str">
        <f>IFERROR(VLOOKUP(ACL$9,#REF!,34,FALSE),"")</f>
        <v/>
      </c>
      <c r="AB24" s="188" t="str">
        <f>IFERROR(VLOOKUP(AB$9,#REF!,34,FALSE),"")</f>
        <v/>
      </c>
      <c r="AC24" s="188" t="str">
        <f>IFERROR(VLOOKUP(AC$9,#REF!,34,FALSE),"")</f>
        <v/>
      </c>
      <c r="AD24" s="188" t="str">
        <f>IFERROR(VLOOKUP(AD$9,#REF!,34,FALSE),"")</f>
        <v/>
      </c>
      <c r="AE24" s="188" t="str">
        <f>IFERROR(VLOOKUP(AE$9,#REF!,34,FALSE),"")</f>
        <v/>
      </c>
      <c r="AF24" s="188" t="str">
        <f>IFERROR(VLOOKUP(AF$9,#REF!,34,FALSE),"")</f>
        <v/>
      </c>
      <c r="AG24" s="193" t="e">
        <f>#REF!</f>
        <v>#REF!</v>
      </c>
      <c r="AH24" s="194"/>
    </row>
    <row r="25" spans="1:34" ht="11.1" customHeight="1">
      <c r="A25" s="207">
        <v>10</v>
      </c>
      <c r="B25" s="184" t="s">
        <v>8</v>
      </c>
      <c r="C25" s="209" t="s">
        <v>78</v>
      </c>
      <c r="D25" s="212" t="str">
        <f>IF(cnt_藤岡北部第１!$S$5=0,"",IF(演算タグ!E25&lt;0.001,"0.001未満",演算タグ!E25))</f>
        <v>0.001未満</v>
      </c>
      <c r="E25" s="212" t="str">
        <f>IF(cnt_西市野々!$S$5=0,"",IF(演算タグ!G25&lt;0.001,"0.001未満",演算タグ!G25))</f>
        <v>0.001未満</v>
      </c>
      <c r="F25" s="212" t="str">
        <f>IF(cnt_藤岡北部第２!$S$5=0,"",IF(演算タグ!I25&lt;0.001,"0.001未満",演算タグ!I25))</f>
        <v>0.001未満</v>
      </c>
      <c r="G25" s="212" t="str">
        <f>IF(cnt_石畳!$S$5=0,"",IF(演算タグ!K25&lt;0.001,"0.001未満",演算タグ!K25))</f>
        <v>0.001未満</v>
      </c>
      <c r="H25" s="212" t="str">
        <f>IF(cnt_木瀬浄水!$S$5=0,"",IF(演算タグ!M25&lt;0.001,"0.001未満",演算タグ!M25))</f>
        <v>0.001未満</v>
      </c>
      <c r="I25" s="212" t="str">
        <f>IF(cnt_木瀬児童!$S$5=0,"",IF(演算タグ!O25&lt;0.001,"0.001未満",演算タグ!O25))</f>
        <v>0.001未満</v>
      </c>
      <c r="J25" s="212" t="str">
        <f>IF(cnt_西中山送配水!$S$5=0,"",IF(演算タグ!Q25&lt;0.001,"0.001未満",演算タグ!Q25))</f>
        <v>0.001未満</v>
      </c>
      <c r="K25" s="212" t="str">
        <f>IF(cnt_西中山水質!$S$5=0,"",IF(演算タグ!S25&lt;0.001,"0.001未満",演算タグ!S25))</f>
        <v>0.001未満</v>
      </c>
      <c r="L25" s="212" t="str">
        <f>IF(cnt_上川口!$S$5=0,"",IF(演算タグ!U25&lt;0.001,"0.001未満",演算タグ!U25))</f>
        <v>0.001未満</v>
      </c>
      <c r="M25" s="212" t="str">
        <f>IF(cnt_折平!$S$5=0,"",IF(演算タグ!W25&lt;0.001,"0.001未満",演算タグ!W25))</f>
        <v>0.001未満</v>
      </c>
      <c r="N25" s="255"/>
      <c r="O25" s="212"/>
      <c r="P25" s="187" t="str">
        <f>IFERROR(VLOOKUP(P$9,#REF!,29,FALSE),"")</f>
        <v/>
      </c>
      <c r="Q25" s="188" t="str">
        <f>IFERROR(VLOOKUP(Q$9,#REF!,29,FALSE),"")</f>
        <v/>
      </c>
      <c r="R25" s="188" t="str">
        <f>IFERROR(VLOOKUP(R$9,#REF!,29,FALSE),"")</f>
        <v/>
      </c>
      <c r="S25" s="188" t="str">
        <f>IFERROR(VLOOKUP(S$9,#REF!,29,FALSE),"")</f>
        <v/>
      </c>
      <c r="T25" s="188" t="str">
        <f>IFERROR(VLOOKUP(T$9,#REF!,29,FALSE),"")</f>
        <v/>
      </c>
      <c r="U25" s="188" t="str">
        <f>IFERROR(VLOOKUP(U$9,#REF!,29,FALSE),"")</f>
        <v/>
      </c>
      <c r="V25" s="188" t="str">
        <f>IFERROR(VLOOKUP(V$9,#REF!,29,FALSE),"")</f>
        <v/>
      </c>
      <c r="W25" s="188" t="str">
        <f>IFERROR(VLOOKUP(W$9,#REF!,29,FALSE),"")</f>
        <v/>
      </c>
      <c r="X25" s="188" t="str">
        <f>IFERROR(VLOOKUP(X$9,#REF!,29,FALSE),"")</f>
        <v/>
      </c>
      <c r="Y25" s="188" t="str">
        <f>IFERROR(VLOOKUP(Y$9,#REF!,29,FALSE),"")</f>
        <v/>
      </c>
      <c r="Z25" s="188" t="str">
        <f>IFERROR(VLOOKUP(Z$9,#REF!,29,FALSE),"")</f>
        <v/>
      </c>
      <c r="AA25" s="188" t="str">
        <f>IFERROR(VLOOKUP(ACL$9,#REF!,29,FALSE),"")</f>
        <v/>
      </c>
      <c r="AB25" s="188" t="str">
        <f>IFERROR(VLOOKUP(AB$9,#REF!,29,FALSE),"")</f>
        <v/>
      </c>
      <c r="AC25" s="188" t="str">
        <f>IFERROR(VLOOKUP(AC$9,#REF!,29,FALSE),"")</f>
        <v/>
      </c>
      <c r="AD25" s="188" t="str">
        <f>IFERROR(VLOOKUP(AD$9,#REF!,29,FALSE),"")</f>
        <v/>
      </c>
      <c r="AE25" s="188" t="str">
        <f>IFERROR(VLOOKUP(AE$9,#REF!,29,FALSE),"")</f>
        <v/>
      </c>
      <c r="AF25" s="188" t="str">
        <f>IFERROR(VLOOKUP(AF$9,#REF!,29,FALSE),"")</f>
        <v/>
      </c>
      <c r="AG25" s="193" t="e">
        <f>#REF!</f>
        <v>#REF!</v>
      </c>
      <c r="AH25" s="194"/>
    </row>
    <row r="26" spans="1:34" ht="11.1" customHeight="1">
      <c r="A26" s="207">
        <v>11</v>
      </c>
      <c r="B26" s="184" t="s">
        <v>9</v>
      </c>
      <c r="C26" s="209" t="s">
        <v>78</v>
      </c>
      <c r="D26" s="213">
        <f>IF(cnt_藤岡北部第１!$X$5=0,"",IF(演算タグ!D26&lt;0.02,"0.02未満",演算タグ!D26))</f>
        <v>0.12</v>
      </c>
      <c r="E26" s="213">
        <f>IF(cnt_西市野々!$X$5=0,"",IF(演算タグ!F26&lt;0.02,"0.02未満",演算タグ!F26))</f>
        <v>0.12</v>
      </c>
      <c r="F26" s="213">
        <f>IF(cnt_藤岡北部第２!$X$5=0,"",IF(演算タグ!H26&lt;0.02,"0.02未満",演算タグ!H26))</f>
        <v>0.19</v>
      </c>
      <c r="G26" s="213">
        <f>IF(cnt_石畳!$X$5=0,"",IF(演算タグ!J26&lt;0.02,"0.02未満",演算タグ!J26))</f>
        <v>0.18</v>
      </c>
      <c r="H26" s="213">
        <f>IF(cnt_木瀬浄水!$X$5=0,"",IF(演算タグ!L26&lt;0.02,"0.02未満",演算タグ!L26))</f>
        <v>0.51</v>
      </c>
      <c r="I26" s="213">
        <f>IF(cnt_木瀬児童!$X$5=0,"",IF(演算タグ!N26&lt;0.02,"0.02未満",演算タグ!N26))</f>
        <v>0.4</v>
      </c>
      <c r="J26" s="213">
        <f>IF(cnt_西中山送配水!$X$5=0,"",IF(演算タグ!P26&lt;0.02,"0.02未満",演算タグ!P26))</f>
        <v>0.23</v>
      </c>
      <c r="K26" s="213">
        <f>IF(cnt_西中山水質!$X$5=0,"",IF(演算タグ!R26&lt;0.02,"0.02未満",演算タグ!R26))</f>
        <v>0.22</v>
      </c>
      <c r="L26" s="213">
        <f>IF(cnt_上川口!$X$5=0,"",IF(演算タグ!T26&lt;0.02,"0.02未満",演算タグ!T26))</f>
        <v>0.24</v>
      </c>
      <c r="M26" s="213">
        <f>IF(cnt_折平!$X$5=0,"",IF(演算タグ!V26&lt;0.02,"0.02未満",演算タグ!V26))</f>
        <v>0.21</v>
      </c>
      <c r="N26" s="256"/>
      <c r="O26" s="213"/>
      <c r="P26" s="187" t="str">
        <f>IFERROR(VLOOKUP(P$9,#REF!,36,FALSE),"")</f>
        <v/>
      </c>
      <c r="Q26" s="188" t="str">
        <f>IFERROR(VLOOKUP(Q$9,#REF!,36,FALSE),"")</f>
        <v/>
      </c>
      <c r="R26" s="188" t="str">
        <f>IFERROR(VLOOKUP(R$9,#REF!,36,FALSE),"")</f>
        <v/>
      </c>
      <c r="S26" s="188" t="str">
        <f>IFERROR(VLOOKUP(S$9,#REF!,36,FALSE),"")</f>
        <v/>
      </c>
      <c r="T26" s="188" t="str">
        <f>IFERROR(VLOOKUP(T$9,#REF!,36,FALSE),"")</f>
        <v/>
      </c>
      <c r="U26" s="188" t="str">
        <f>IFERROR(VLOOKUP(U$9,#REF!,36,FALSE),"")</f>
        <v/>
      </c>
      <c r="V26" s="188" t="str">
        <f>IFERROR(VLOOKUP(V$9,#REF!,36,FALSE),"")</f>
        <v/>
      </c>
      <c r="W26" s="188" t="str">
        <f>IFERROR(VLOOKUP(W$9,#REF!,36,FALSE),"")</f>
        <v/>
      </c>
      <c r="X26" s="188" t="str">
        <f>IFERROR(VLOOKUP(X$9,#REF!,36,FALSE),"")</f>
        <v/>
      </c>
      <c r="Y26" s="188" t="str">
        <f>IFERROR(VLOOKUP(Y$9,#REF!,36,FALSE),"")</f>
        <v/>
      </c>
      <c r="Z26" s="188" t="str">
        <f>IFERROR(VLOOKUP(Z$9,#REF!,36,FALSE),"")</f>
        <v/>
      </c>
      <c r="AA26" s="188" t="str">
        <f>IFERROR(VLOOKUP(ACL$9,#REF!,36,FALSE),"")</f>
        <v/>
      </c>
      <c r="AB26" s="188" t="str">
        <f>IFERROR(VLOOKUP(AB$9,#REF!,36,FALSE),"")</f>
        <v/>
      </c>
      <c r="AC26" s="188" t="str">
        <f>IFERROR(VLOOKUP(AC$9,#REF!,36,FALSE),"")</f>
        <v/>
      </c>
      <c r="AD26" s="188" t="str">
        <f>IFERROR(VLOOKUP(AD$9,#REF!,36,FALSE),"")</f>
        <v/>
      </c>
      <c r="AE26" s="188" t="str">
        <f>IFERROR(VLOOKUP(AE$9,#REF!,36,FALSE),"")</f>
        <v/>
      </c>
      <c r="AF26" s="188" t="str">
        <f>IFERROR(VLOOKUP(AF$9,#REF!,36,FALSE),"")</f>
        <v/>
      </c>
      <c r="AG26" s="214" t="e">
        <f>#REF!</f>
        <v>#REF!</v>
      </c>
      <c r="AH26" s="215"/>
    </row>
    <row r="27" spans="1:34" ht="11.1" customHeight="1">
      <c r="A27" s="207">
        <v>12</v>
      </c>
      <c r="B27" s="184" t="s">
        <v>10</v>
      </c>
      <c r="C27" s="209" t="s">
        <v>78</v>
      </c>
      <c r="D27" s="213" t="str">
        <f>IF(cnt_藤岡北部第１!$T$5=0,"",IF(演算タグ!D27&lt;0.05,"0.05未満",演算タグ!D27))</f>
        <v>0.05未満</v>
      </c>
      <c r="E27" s="213" t="str">
        <f>IF(cnt_西市野々!$T$5=0,"",IF(演算タグ!F27&lt;0.05,"0.05未満",演算タグ!F27))</f>
        <v>0.05未満</v>
      </c>
      <c r="F27" s="213" t="str">
        <f>IF(cnt_藤岡北部第２!$T$5=0,"",IF(演算タグ!H27&lt;0.05,"0.05未満",演算タグ!H27))</f>
        <v>0.05未満</v>
      </c>
      <c r="G27" s="213" t="str">
        <f>IF(cnt_石畳!$T$5=0,"",IF(演算タグ!J27&lt;0.05,"0.05未満",演算タグ!J27))</f>
        <v>0.05未満</v>
      </c>
      <c r="H27" s="213">
        <f>IF(cnt_木瀬浄水!$T$5=0,"",IF(演算タグ!L27&lt;0.05,"0.05未満",演算タグ!L27))</f>
        <v>0.09</v>
      </c>
      <c r="I27" s="213">
        <f>IF(cnt_木瀬児童!$T$5=0,"",IF(演算タグ!N27&lt;0.05,"0.05未満",演算タグ!N27))</f>
        <v>0.08</v>
      </c>
      <c r="J27" s="213">
        <f>IF(cnt_西中山送配水!$T$5=0,"",IF(演算タグ!P27&lt;0.05,"0.05未満",演算タグ!P27))</f>
        <v>0.05</v>
      </c>
      <c r="K27" s="213" t="str">
        <f>IF(cnt_西中山水質!$T$5=0,"",IF(演算タグ!R27&lt;0.05,"0.05未満",演算タグ!R27))</f>
        <v>0.05未満</v>
      </c>
      <c r="L27" s="213">
        <f>IF(cnt_上川口!$T$5=0,"",IF(演算タグ!T27&lt;0.05,"0.05未満",演算タグ!T27))</f>
        <v>0.05</v>
      </c>
      <c r="M27" s="213" t="str">
        <f>IF(cnt_折平!$T$5=0,"",IF(演算タグ!V27&lt;0.05,"0.05未満",演算タグ!V27))</f>
        <v>0.05未満</v>
      </c>
      <c r="N27" s="256"/>
      <c r="O27" s="213"/>
      <c r="P27" s="187" t="str">
        <f>IFERROR(VLOOKUP(P$9,#REF!,31,FALSE),"")</f>
        <v/>
      </c>
      <c r="Q27" s="188" t="str">
        <f>IFERROR(VLOOKUP(Q$9,#REF!,31,FALSE),"")</f>
        <v/>
      </c>
      <c r="R27" s="188" t="str">
        <f>IFERROR(VLOOKUP(R$9,#REF!,31,FALSE),"")</f>
        <v/>
      </c>
      <c r="S27" s="188" t="str">
        <f>IFERROR(VLOOKUP(S$9,#REF!,31,FALSE),"")</f>
        <v/>
      </c>
      <c r="T27" s="188" t="str">
        <f>IFERROR(VLOOKUP(T$9,#REF!,31,FALSE),"")</f>
        <v/>
      </c>
      <c r="U27" s="188" t="str">
        <f>IFERROR(VLOOKUP(U$9,#REF!,31,FALSE),"")</f>
        <v/>
      </c>
      <c r="V27" s="188" t="str">
        <f>IFERROR(VLOOKUP(V$9,#REF!,31,FALSE),"")</f>
        <v/>
      </c>
      <c r="W27" s="188" t="str">
        <f>IFERROR(VLOOKUP(W$9,#REF!,31,FALSE),"")</f>
        <v/>
      </c>
      <c r="X27" s="188" t="str">
        <f>IFERROR(VLOOKUP(X$9,#REF!,31,FALSE),"")</f>
        <v/>
      </c>
      <c r="Y27" s="188" t="str">
        <f>IFERROR(VLOOKUP(Y$9,#REF!,31,FALSE),"")</f>
        <v/>
      </c>
      <c r="Z27" s="188" t="str">
        <f>IFERROR(VLOOKUP(Z$9,#REF!,31,FALSE),"")</f>
        <v/>
      </c>
      <c r="AA27" s="188" t="str">
        <f>IFERROR(VLOOKUP(ACL$9,#REF!,31,FALSE),"")</f>
        <v/>
      </c>
      <c r="AB27" s="188" t="str">
        <f>IFERROR(VLOOKUP(AB$9,#REF!,31,FALSE),"")</f>
        <v/>
      </c>
      <c r="AC27" s="188" t="str">
        <f>IFERROR(VLOOKUP(AC$9,#REF!,31,FALSE),"")</f>
        <v/>
      </c>
      <c r="AD27" s="188" t="str">
        <f>IFERROR(VLOOKUP(AD$9,#REF!,31,FALSE),"")</f>
        <v/>
      </c>
      <c r="AE27" s="188" t="str">
        <f>IFERROR(VLOOKUP(AE$9,#REF!,31,FALSE),"")</f>
        <v/>
      </c>
      <c r="AF27" s="188" t="str">
        <f>IFERROR(VLOOKUP(AF$9,#REF!,31,FALSE),"")</f>
        <v/>
      </c>
      <c r="AG27" s="193" t="e">
        <f>#REF!</f>
        <v>#REF!</v>
      </c>
      <c r="AH27" s="194"/>
    </row>
    <row r="28" spans="1:34" ht="11.1" customHeight="1">
      <c r="A28" s="207">
        <v>13</v>
      </c>
      <c r="B28" s="184" t="s">
        <v>11</v>
      </c>
      <c r="C28" s="209" t="s">
        <v>78</v>
      </c>
      <c r="D28" s="213" t="str">
        <f>IF(cnt_藤岡北部第１!$I$5=0,"",IF(演算タグ!E28&lt;0.01,"0.01未満",演算タグ!E28))</f>
        <v/>
      </c>
      <c r="E28" s="213" t="str">
        <f>IF(cnt_西市野々!$I$5=0,"",IF(演算タグ!G28&lt;0.01,"0.01未満",演算タグ!G28))</f>
        <v/>
      </c>
      <c r="F28" s="213" t="str">
        <f>IF(cnt_藤岡北部第２!$I$5=0,"",IF(演算タグ!I28&lt;0.01,"0.01未満",演算タグ!I28))</f>
        <v/>
      </c>
      <c r="G28" s="213" t="str">
        <f>IF(cnt_石畳!$I$5=0,"",IF(演算タグ!K28&lt;0.01,"0.01未満",演算タグ!K28))</f>
        <v/>
      </c>
      <c r="H28" s="213" t="str">
        <f>IF(cnt_木瀬浄水!$I$5=0,"",IF(演算タグ!M28&lt;0.01,"0.01未満",演算タグ!M28))</f>
        <v/>
      </c>
      <c r="I28" s="213" t="str">
        <f>IF(cnt_木瀬児童!$I$5=0,"",IF(演算タグ!O28&lt;0.01,"0.01未満",演算タグ!O28))</f>
        <v/>
      </c>
      <c r="J28" s="213" t="str">
        <f>IF(cnt_西中山送配水!$I$5=0,"",IF(演算タグ!Q28&lt;0.01,"0.01未満",演算タグ!Q28))</f>
        <v/>
      </c>
      <c r="K28" s="213" t="str">
        <f>IF(cnt_西中山水質!$I$5=0,"",IF(演算タグ!S28&lt;0.01,"0.01未満",演算タグ!S28))</f>
        <v/>
      </c>
      <c r="L28" s="213" t="str">
        <f>IF(cnt_上川口!$I$5=0,"",IF(演算タグ!U28&lt;0.01,"0.01未満",演算タグ!U28))</f>
        <v/>
      </c>
      <c r="M28" s="213" t="str">
        <f>IF(cnt_折平!$I$5=0,"",IF(演算タグ!W28&lt;0.01,"0.01未満",演算タグ!W28))</f>
        <v/>
      </c>
      <c r="N28" s="256"/>
      <c r="O28" s="213"/>
      <c r="P28" s="187" t="str">
        <f>IFERROR(VLOOKUP(P$9,#REF!,17,FALSE),"")</f>
        <v/>
      </c>
      <c r="Q28" s="188" t="str">
        <f>IFERROR(VLOOKUP(Q$9,#REF!,17,FALSE),"")</f>
        <v/>
      </c>
      <c r="R28" s="188" t="str">
        <f>IFERROR(VLOOKUP(R$9,#REF!,17,FALSE),"")</f>
        <v/>
      </c>
      <c r="S28" s="188" t="str">
        <f>IFERROR(VLOOKUP(S$9,#REF!,17,FALSE),"")</f>
        <v/>
      </c>
      <c r="T28" s="188" t="str">
        <f>IFERROR(VLOOKUP(T$9,#REF!,17,FALSE),"")</f>
        <v/>
      </c>
      <c r="U28" s="188" t="str">
        <f>IFERROR(VLOOKUP(U$9,#REF!,17,FALSE),"")</f>
        <v/>
      </c>
      <c r="V28" s="188" t="str">
        <f>IFERROR(VLOOKUP(V$9,#REF!,17,FALSE),"")</f>
        <v/>
      </c>
      <c r="W28" s="188" t="str">
        <f>IFERROR(VLOOKUP(W$9,#REF!,17,FALSE),"")</f>
        <v/>
      </c>
      <c r="X28" s="188" t="str">
        <f>IFERROR(VLOOKUP(X$9,#REF!,17,FALSE),"")</f>
        <v/>
      </c>
      <c r="Y28" s="188" t="str">
        <f>IFERROR(VLOOKUP(Y$9,#REF!,17,FALSE),"")</f>
        <v/>
      </c>
      <c r="Z28" s="188" t="str">
        <f>IFERROR(VLOOKUP(Z$9,#REF!,17,FALSE),"")</f>
        <v/>
      </c>
      <c r="AA28" s="188" t="str">
        <f>IFERROR(VLOOKUP(ACL$9,#REF!,17,FALSE),"")</f>
        <v/>
      </c>
      <c r="AB28" s="188" t="str">
        <f>IFERROR(VLOOKUP(AB$9,#REF!,17,FALSE),"")</f>
        <v/>
      </c>
      <c r="AC28" s="188" t="str">
        <f>IFERROR(VLOOKUP(AC$9,#REF!,17,FALSE),"")</f>
        <v/>
      </c>
      <c r="AD28" s="188" t="str">
        <f>IFERROR(VLOOKUP(AD$9,#REF!,17,FALSE),"")</f>
        <v/>
      </c>
      <c r="AE28" s="188" t="str">
        <f>IFERROR(VLOOKUP(AE$9,#REF!,17,FALSE),"")</f>
        <v/>
      </c>
      <c r="AF28" s="188" t="str">
        <f>IFERROR(VLOOKUP(AF$9,#REF!,17,FALSE),"")</f>
        <v/>
      </c>
      <c r="AG28" s="193" t="e">
        <f>#REF!</f>
        <v>#REF!</v>
      </c>
      <c r="AH28" s="194"/>
    </row>
    <row r="29" spans="1:34" ht="11.1" customHeight="1">
      <c r="A29" s="207">
        <v>14</v>
      </c>
      <c r="B29" s="184" t="s">
        <v>12</v>
      </c>
      <c r="C29" s="209" t="s">
        <v>78</v>
      </c>
      <c r="D29" s="210" t="str">
        <f>IF(cnt_藤岡北部第１!$AA$5=0,"",IF(演算タグ!E29&lt;0.0002,"0.0002未満",演算タグ!E29))</f>
        <v/>
      </c>
      <c r="E29" s="210" t="str">
        <f>IF(cnt_西市野々!$AA$5=0,"",IF(演算タグ!G29&lt;0.0002,"0.0002未満",演算タグ!G29))</f>
        <v/>
      </c>
      <c r="F29" s="210" t="str">
        <f>IF(cnt_藤岡北部第２!$AA$5=0,"",IF(演算タグ!I29&lt;0.0002,"0.0002未満",演算タグ!I29))</f>
        <v/>
      </c>
      <c r="G29" s="210" t="str">
        <f>IF(cnt_石畳!$AA$5=0,"",IF(演算タグ!K29&lt;0.0002,"0.0002未満",演算タグ!K29))</f>
        <v/>
      </c>
      <c r="H29" s="210" t="str">
        <f>IF(cnt_木瀬浄水!$AA$5=0,"",IF(演算タグ!M29&lt;0.0002,"0.0002未満",演算タグ!M29))</f>
        <v/>
      </c>
      <c r="I29" s="210" t="str">
        <f>IF(cnt_木瀬児童!$AA$5=0,"",IF(演算タグ!O29&lt;0.0002,"0.0002未満",演算タグ!O29))</f>
        <v/>
      </c>
      <c r="J29" s="210" t="str">
        <f>IF(cnt_西中山送配水!$AA$5=0,"",IF(演算タグ!Q29&lt;0.0002,"0.0002未満",演算タグ!Q29))</f>
        <v/>
      </c>
      <c r="K29" s="210" t="str">
        <f>IF(cnt_西中山水質!$AA$5=0,"",IF(演算タグ!S29&lt;0.0002,"0.0002未満",演算タグ!S29))</f>
        <v/>
      </c>
      <c r="L29" s="210" t="str">
        <f>IF(cnt_上川口!$AA$5=0,"",IF(演算タグ!U29&lt;0.0002,"0.0002未満",演算タグ!U29))</f>
        <v/>
      </c>
      <c r="M29" s="210" t="str">
        <f>IF(cnt_折平!$AA$5=0,"",IF(演算タグ!W29&lt;0.0002,"0.0002未満",演算タグ!W29))</f>
        <v/>
      </c>
      <c r="N29" s="253"/>
      <c r="O29" s="210"/>
      <c r="P29" s="187" t="str">
        <f>IFERROR(VLOOKUP(P$9,#REF!,42,FALSE),"")</f>
        <v/>
      </c>
      <c r="Q29" s="188" t="str">
        <f>IFERROR(VLOOKUP(Q$9,#REF!,42,FALSE),"")</f>
        <v/>
      </c>
      <c r="R29" s="188" t="str">
        <f>IFERROR(VLOOKUP(R$9,#REF!,42,FALSE),"")</f>
        <v/>
      </c>
      <c r="S29" s="188" t="str">
        <f>IFERROR(VLOOKUP(S$9,#REF!,42,FALSE),"")</f>
        <v/>
      </c>
      <c r="T29" s="188" t="str">
        <f>IFERROR(VLOOKUP(T$9,#REF!,42,FALSE),"")</f>
        <v/>
      </c>
      <c r="U29" s="188" t="str">
        <f>IFERROR(VLOOKUP(U$9,#REF!,42,FALSE),"")</f>
        <v/>
      </c>
      <c r="V29" s="188" t="str">
        <f>IFERROR(VLOOKUP(V$9,#REF!,42,FALSE),"")</f>
        <v/>
      </c>
      <c r="W29" s="188" t="str">
        <f>IFERROR(VLOOKUP(W$9,#REF!,42,FALSE),"")</f>
        <v/>
      </c>
      <c r="X29" s="188" t="str">
        <f>IFERROR(VLOOKUP(X$9,#REF!,42,FALSE),"")</f>
        <v/>
      </c>
      <c r="Y29" s="188" t="str">
        <f>IFERROR(VLOOKUP(Y$9,#REF!,42,FALSE),"")</f>
        <v/>
      </c>
      <c r="Z29" s="188" t="str">
        <f>IFERROR(VLOOKUP(Z$9,#REF!,42,FALSE),"")</f>
        <v/>
      </c>
      <c r="AA29" s="188" t="str">
        <f>IFERROR(VLOOKUP(ACL$9,#REF!,42,FALSE),"")</f>
        <v/>
      </c>
      <c r="AB29" s="188" t="str">
        <f>IFERROR(VLOOKUP(AB$9,#REF!,42,FALSE),"")</f>
        <v/>
      </c>
      <c r="AC29" s="188" t="str">
        <f>IFERROR(VLOOKUP(AC$9,#REF!,42,FALSE),"")</f>
        <v/>
      </c>
      <c r="AD29" s="188" t="str">
        <f>IFERROR(VLOOKUP(AD$9,#REF!,42,FALSE),"")</f>
        <v/>
      </c>
      <c r="AE29" s="188" t="str">
        <f>IFERROR(VLOOKUP(AE$9,#REF!,42,FALSE),"")</f>
        <v/>
      </c>
      <c r="AF29" s="188" t="str">
        <f>IFERROR(VLOOKUP(AF$9,#REF!,42,FALSE),"")</f>
        <v/>
      </c>
      <c r="AG29" s="193" t="e">
        <f>#REF!</f>
        <v>#REF!</v>
      </c>
      <c r="AH29" s="194"/>
    </row>
    <row r="30" spans="1:34" ht="11.1" customHeight="1">
      <c r="A30" s="207">
        <v>15</v>
      </c>
      <c r="B30" s="184" t="s">
        <v>100</v>
      </c>
      <c r="C30" s="209" t="s">
        <v>78</v>
      </c>
      <c r="D30" s="212" t="str">
        <f>IF(cnt_藤岡北部第１!$AB$5=0,"",IF(演算タグ!E30&lt;0.001,"0.001未満",演算タグ!E30))</f>
        <v/>
      </c>
      <c r="E30" s="212" t="str">
        <f>IF(cnt_西市野々!$AB$5=0,"",IF(演算タグ!G30&lt;0.001,"0.001未満",演算タグ!G30))</f>
        <v/>
      </c>
      <c r="F30" s="212" t="str">
        <f>IF(cnt_藤岡北部第２!$AB$5=0,"",IF(演算タグ!I30&lt;0.001,"0.001未満",演算タグ!I30))</f>
        <v/>
      </c>
      <c r="G30" s="212" t="str">
        <f>IF(cnt_石畳!$AB$5=0,"",IF(演算タグ!K30&lt;0.001,"0.001未満",演算タグ!K30))</f>
        <v/>
      </c>
      <c r="H30" s="212" t="str">
        <f>IF(cnt_木瀬浄水!$AB$5=0,"",IF(演算タグ!M30&lt;0.001,"0.001未満",演算タグ!M30))</f>
        <v/>
      </c>
      <c r="I30" s="212" t="str">
        <f>IF(cnt_木瀬児童!$AB$5=0,"",IF(演算タグ!O30&lt;0.001,"0.001未満",演算タグ!O30))</f>
        <v/>
      </c>
      <c r="J30" s="212" t="str">
        <f>IF(cnt_西中山送配水!$AB$5=0,"",IF(演算タグ!Q30&lt;0.001,"0.001未満",演算タグ!Q30))</f>
        <v/>
      </c>
      <c r="K30" s="212" t="str">
        <f>IF(cnt_西中山水質!$AB$5=0,"",IF(演算タグ!S30&lt;0.001,"0.001未満",演算タグ!S30))</f>
        <v/>
      </c>
      <c r="L30" s="212" t="str">
        <f>IF(cnt_上川口!$AB$5=0,"",IF(演算タグ!U30&lt;0.001,"0.001未満",演算タグ!U30))</f>
        <v/>
      </c>
      <c r="M30" s="212" t="str">
        <f>IF(cnt_折平!$AB$5=0,"",IF(演算タグ!W30&lt;0.001,"0.001未満",演算タグ!W30))</f>
        <v/>
      </c>
      <c r="N30" s="255"/>
      <c r="O30" s="212"/>
      <c r="P30" s="187" t="str">
        <f>IFERROR(VLOOKUP(P$9,#REF!,43,FALSE),"")</f>
        <v/>
      </c>
      <c r="Q30" s="188" t="str">
        <f>IFERROR(VLOOKUP(Q$9,#REF!,43,FALSE),"")</f>
        <v/>
      </c>
      <c r="R30" s="188" t="str">
        <f>IFERROR(VLOOKUP(R$9,#REF!,43,FALSE),"")</f>
        <v/>
      </c>
      <c r="S30" s="188" t="str">
        <f>IFERROR(VLOOKUP(S$9,#REF!,43,FALSE),"")</f>
        <v/>
      </c>
      <c r="T30" s="188" t="str">
        <f>IFERROR(VLOOKUP(T$9,#REF!,43,FALSE),"")</f>
        <v/>
      </c>
      <c r="U30" s="188" t="str">
        <f>IFERROR(VLOOKUP(U$9,#REF!,43,FALSE),"")</f>
        <v/>
      </c>
      <c r="V30" s="188" t="str">
        <f>IFERROR(VLOOKUP(V$9,#REF!,43,FALSE),"")</f>
        <v/>
      </c>
      <c r="W30" s="188" t="str">
        <f>IFERROR(VLOOKUP(W$9,#REF!,43,FALSE),"")</f>
        <v/>
      </c>
      <c r="X30" s="188" t="str">
        <f>IFERROR(VLOOKUP(X$9,#REF!,43,FALSE),"")</f>
        <v/>
      </c>
      <c r="Y30" s="188" t="str">
        <f>IFERROR(VLOOKUP(Y$9,#REF!,43,FALSE),"")</f>
        <v/>
      </c>
      <c r="Z30" s="188" t="str">
        <f>IFERROR(VLOOKUP(Z$9,#REF!,43,FALSE),"")</f>
        <v/>
      </c>
      <c r="AA30" s="188" t="str">
        <f>IFERROR(VLOOKUP(ACL$9,#REF!,43,FALSE),"")</f>
        <v/>
      </c>
      <c r="AB30" s="188" t="str">
        <f>IFERROR(VLOOKUP(AB$9,#REF!,43,FALSE),"")</f>
        <v/>
      </c>
      <c r="AC30" s="188" t="str">
        <f>IFERROR(VLOOKUP(AC$9,#REF!,43,FALSE),"")</f>
        <v/>
      </c>
      <c r="AD30" s="188" t="str">
        <f>IFERROR(VLOOKUP(AD$9,#REF!,43,FALSE),"")</f>
        <v/>
      </c>
      <c r="AE30" s="188" t="str">
        <f>IFERROR(VLOOKUP(AE$9,#REF!,43,FALSE),"")</f>
        <v/>
      </c>
      <c r="AF30" s="188" t="str">
        <f>IFERROR(VLOOKUP(AF$9,#REF!,43,FALSE),"")</f>
        <v/>
      </c>
      <c r="AG30" s="193" t="e">
        <f>#REF!</f>
        <v>#REF!</v>
      </c>
      <c r="AH30" s="194"/>
    </row>
    <row r="31" spans="1:34" ht="11.1" customHeight="1">
      <c r="A31" s="207">
        <v>16</v>
      </c>
      <c r="B31" s="184" t="s">
        <v>101</v>
      </c>
      <c r="C31" s="209" t="s">
        <v>78</v>
      </c>
      <c r="D31" s="212" t="str">
        <f>IF(cnt_藤岡北部第１!$AC$5=0,"",IF(演算タグ!E31&lt;0.004,"0.004未満",演算タグ!E31))</f>
        <v/>
      </c>
      <c r="E31" s="212" t="str">
        <f>IF(cnt_西市野々!$AC$5=0,"",IF(演算タグ!G31&lt;0.004,"0.004未満",演算タグ!G31))</f>
        <v/>
      </c>
      <c r="F31" s="212" t="str">
        <f>IF(cnt_藤岡北部第２!$AC$5=0,"",IF(演算タグ!I31&lt;0.004,"0.004未満",演算タグ!I31))</f>
        <v/>
      </c>
      <c r="G31" s="212" t="str">
        <f>IF(cnt_石畳!$AC$5=0,"",IF(演算タグ!K31&lt;0.004,"0.004未満",演算タグ!K31))</f>
        <v/>
      </c>
      <c r="H31" s="212" t="str">
        <f>IF(cnt_木瀬浄水!$AC$5=0,"",IF(演算タグ!M31&lt;0.004,"0.004未満",演算タグ!M31))</f>
        <v/>
      </c>
      <c r="I31" s="212" t="str">
        <f>IF(cnt_木瀬児童!$AC$5=0,"",IF(演算タグ!O31&lt;0.004,"0.004未満",演算タグ!O31))</f>
        <v/>
      </c>
      <c r="J31" s="212" t="str">
        <f>IF(cnt_西中山送配水!$AC$5=0,"",IF(演算タグ!Q31&lt;0.004,"0.004未満",演算タグ!Q31))</f>
        <v/>
      </c>
      <c r="K31" s="212" t="str">
        <f>IF(cnt_西中山水質!$AC$5=0,"",IF(演算タグ!S31&lt;0.004,"0.004未満",演算タグ!S31))</f>
        <v/>
      </c>
      <c r="L31" s="212" t="str">
        <f>IF(cnt_上川口!$AC$5=0,"",IF(演算タグ!U31&lt;0.004,"0.004未満",演算タグ!U31))</f>
        <v/>
      </c>
      <c r="M31" s="212" t="str">
        <f>IF(cnt_折平!$AC$5=0,"",IF(演算タグ!W31&lt;0.004,"0.004未満",演算タグ!W31))</f>
        <v/>
      </c>
      <c r="N31" s="255"/>
      <c r="O31" s="212"/>
      <c r="P31" s="187" t="str">
        <f>IFERROR(VLOOKUP(P$9,#REF!,46,FALSE),"")</f>
        <v/>
      </c>
      <c r="Q31" s="188" t="str">
        <f>IFERROR(VLOOKUP(Q$9,#REF!,46,FALSE),"")</f>
        <v/>
      </c>
      <c r="R31" s="188" t="str">
        <f>IFERROR(VLOOKUP(R$9,#REF!,46,FALSE),"")</f>
        <v/>
      </c>
      <c r="S31" s="188" t="str">
        <f>IFERROR(VLOOKUP(S$9,#REF!,46,FALSE),"")</f>
        <v/>
      </c>
      <c r="T31" s="188" t="str">
        <f>IFERROR(VLOOKUP(T$9,#REF!,46,FALSE),"")</f>
        <v/>
      </c>
      <c r="U31" s="188" t="str">
        <f>IFERROR(VLOOKUP(U$9,#REF!,46,FALSE),"")</f>
        <v/>
      </c>
      <c r="V31" s="188" t="str">
        <f>IFERROR(VLOOKUP(V$9,#REF!,46,FALSE),"")</f>
        <v/>
      </c>
      <c r="W31" s="188" t="str">
        <f>IFERROR(VLOOKUP(W$9,#REF!,46,FALSE),"")</f>
        <v/>
      </c>
      <c r="X31" s="188" t="str">
        <f>IFERROR(VLOOKUP(X$9,#REF!,46,FALSE),"")</f>
        <v/>
      </c>
      <c r="Y31" s="188" t="str">
        <f>IFERROR(VLOOKUP(Y$9,#REF!,46,FALSE),"")</f>
        <v/>
      </c>
      <c r="Z31" s="188" t="str">
        <f>IFERROR(VLOOKUP(Z$9,#REF!,46,FALSE),"")</f>
        <v/>
      </c>
      <c r="AA31" s="188" t="str">
        <f>IFERROR(VLOOKUP(ACL$9,#REF!,46,FALSE),"")</f>
        <v/>
      </c>
      <c r="AB31" s="188" t="str">
        <f>IFERROR(VLOOKUP(AB$9,#REF!,46,FALSE),"")</f>
        <v/>
      </c>
      <c r="AC31" s="188" t="str">
        <f>IFERROR(VLOOKUP(AC$9,#REF!,46,FALSE),"")</f>
        <v/>
      </c>
      <c r="AD31" s="188" t="str">
        <f>IFERROR(VLOOKUP(AD$9,#REF!,46,FALSE),"")</f>
        <v/>
      </c>
      <c r="AE31" s="188" t="str">
        <f>IFERROR(VLOOKUP(AE$9,#REF!,46,FALSE),"")</f>
        <v/>
      </c>
      <c r="AF31" s="188" t="str">
        <f>IFERROR(VLOOKUP(AF$9,#REF!,46,FALSE),"")</f>
        <v/>
      </c>
      <c r="AG31" s="193" t="e">
        <f>#REF!</f>
        <v>#REF!</v>
      </c>
      <c r="AH31" s="194"/>
    </row>
    <row r="32" spans="1:34" ht="11.1" customHeight="1">
      <c r="A32" s="207">
        <v>17</v>
      </c>
      <c r="B32" s="184" t="s">
        <v>13</v>
      </c>
      <c r="C32" s="209" t="s">
        <v>78</v>
      </c>
      <c r="D32" s="212" t="str">
        <f>IF(cnt_藤岡北部第１!$AD$5=0,"",IF(演算タグ!E32&lt;0.001,"0.001未満",演算タグ!E32))</f>
        <v/>
      </c>
      <c r="E32" s="212" t="str">
        <f>IF(cnt_西市野々!$AD$5=0,"",IF(演算タグ!G32&lt;0.001,"0.001未満",演算タグ!G32))</f>
        <v/>
      </c>
      <c r="F32" s="212" t="str">
        <f>IF(cnt_藤岡北部第２!$AD$5=0,"",IF(演算タグ!I32&lt;0.001,"0.001未満",演算タグ!I32))</f>
        <v/>
      </c>
      <c r="G32" s="212" t="str">
        <f>IF(cnt_石畳!$AD$5=0,"",IF(演算タグ!K32&lt;0.001,"0.001未満",演算タグ!K32))</f>
        <v/>
      </c>
      <c r="H32" s="212" t="str">
        <f>IF(cnt_木瀬浄水!$AD$5=0,"",IF(演算タグ!M32&lt;0.001,"0.001未満",演算タグ!M32))</f>
        <v/>
      </c>
      <c r="I32" s="212" t="str">
        <f>IF(cnt_木瀬児童!$AD$5=0,"",IF(演算タグ!O32&lt;0.001,"0.001未満",演算タグ!O32))</f>
        <v/>
      </c>
      <c r="J32" s="212" t="str">
        <f>IF(cnt_西中山送配水!$AD$5=0,"",IF(演算タグ!Q32&lt;0.001,"0.001未満",演算タグ!Q32))</f>
        <v/>
      </c>
      <c r="K32" s="212" t="str">
        <f>IF(cnt_西中山水質!$AD$5=0,"",IF(演算タグ!S32&lt;0.001,"0.001未満",演算タグ!S32))</f>
        <v/>
      </c>
      <c r="L32" s="212" t="str">
        <f>IF(cnt_上川口!$AD$5=0,"",IF(演算タグ!U32&lt;0.001,"0.001未満",演算タグ!U32))</f>
        <v/>
      </c>
      <c r="M32" s="212" t="str">
        <f>IF(cnt_折平!$AD$5=0,"",IF(演算タグ!W32&lt;0.001,"0.001未満",演算タグ!W32))</f>
        <v/>
      </c>
      <c r="N32" s="255"/>
      <c r="O32" s="212"/>
      <c r="P32" s="187" t="str">
        <f>IFERROR(VLOOKUP(P$9,#REF!,47,FALSE),"")</f>
        <v/>
      </c>
      <c r="Q32" s="188" t="str">
        <f>IFERROR(VLOOKUP(Q$9,#REF!,47,FALSE),"")</f>
        <v/>
      </c>
      <c r="R32" s="188" t="str">
        <f>IFERROR(VLOOKUP(R$9,#REF!,47,FALSE),"")</f>
        <v/>
      </c>
      <c r="S32" s="188" t="str">
        <f>IFERROR(VLOOKUP(S$9,#REF!,47,FALSE),"")</f>
        <v/>
      </c>
      <c r="T32" s="188" t="str">
        <f>IFERROR(VLOOKUP(T$9,#REF!,47,FALSE),"")</f>
        <v/>
      </c>
      <c r="U32" s="188" t="str">
        <f>IFERROR(VLOOKUP(U$9,#REF!,47,FALSE),"")</f>
        <v/>
      </c>
      <c r="V32" s="188" t="str">
        <f>IFERROR(VLOOKUP(V$9,#REF!,47,FALSE),"")</f>
        <v/>
      </c>
      <c r="W32" s="188" t="str">
        <f>IFERROR(VLOOKUP(W$9,#REF!,47,FALSE),"")</f>
        <v/>
      </c>
      <c r="X32" s="188" t="str">
        <f>IFERROR(VLOOKUP(X$9,#REF!,47,FALSE),"")</f>
        <v/>
      </c>
      <c r="Y32" s="188" t="str">
        <f>IFERROR(VLOOKUP(Y$9,#REF!,47,FALSE),"")</f>
        <v/>
      </c>
      <c r="Z32" s="188" t="str">
        <f>IFERROR(VLOOKUP(Z$9,#REF!,47,FALSE),"")</f>
        <v/>
      </c>
      <c r="AA32" s="188" t="str">
        <f>IFERROR(VLOOKUP(ACL$9,#REF!,47,FALSE),"")</f>
        <v/>
      </c>
      <c r="AB32" s="188" t="str">
        <f>IFERROR(VLOOKUP(AB$9,#REF!,47,FALSE),"")</f>
        <v/>
      </c>
      <c r="AC32" s="188" t="str">
        <f>IFERROR(VLOOKUP(AC$9,#REF!,47,FALSE),"")</f>
        <v/>
      </c>
      <c r="AD32" s="188" t="str">
        <f>IFERROR(VLOOKUP(AD$9,#REF!,47,FALSE),"")</f>
        <v/>
      </c>
      <c r="AE32" s="188" t="str">
        <f>IFERROR(VLOOKUP(AE$9,#REF!,47,FALSE),"")</f>
        <v/>
      </c>
      <c r="AF32" s="188" t="str">
        <f>IFERROR(VLOOKUP(AF$9,#REF!,47,FALSE),"")</f>
        <v/>
      </c>
      <c r="AG32" s="193" t="e">
        <f>#REF!</f>
        <v>#REF!</v>
      </c>
      <c r="AH32" s="194"/>
    </row>
    <row r="33" spans="1:34" ht="11.1" customHeight="1">
      <c r="A33" s="207">
        <v>18</v>
      </c>
      <c r="B33" s="184" t="s">
        <v>14</v>
      </c>
      <c r="C33" s="209" t="s">
        <v>78</v>
      </c>
      <c r="D33" s="212" t="str">
        <f>IF(cnt_藤岡北部第１!$AE$5=0,"",IF(演算タグ!E33&lt;0.001,"0.001未満",演算タグ!E33))</f>
        <v/>
      </c>
      <c r="E33" s="212" t="str">
        <f>IF(cnt_西市野々!$AE$5=0,"",IF(演算タグ!G33&lt;0.001,"0.001未満",演算タグ!G33))</f>
        <v/>
      </c>
      <c r="F33" s="212" t="str">
        <f>IF(cnt_藤岡北部第２!$AE$5=0,"",IF(演算タグ!I33&lt;0.001,"0.001未満",演算タグ!I33))</f>
        <v/>
      </c>
      <c r="G33" s="212" t="str">
        <f>IF(cnt_石畳!$AE$5=0,"",IF(演算タグ!K33&lt;0.001,"0.001未満",演算タグ!K33))</f>
        <v/>
      </c>
      <c r="H33" s="212" t="str">
        <f>IF(cnt_木瀬浄水!$AE$5=0,"",IF(演算タグ!M33&lt;0.001,"0.001未満",演算タグ!M33))</f>
        <v/>
      </c>
      <c r="I33" s="212" t="str">
        <f>IF(cnt_木瀬児童!$AE$5=0,"",IF(演算タグ!O33&lt;0.001,"0.001未満",演算タグ!O33))</f>
        <v/>
      </c>
      <c r="J33" s="212" t="str">
        <f>IF(cnt_西中山送配水!$AE$5=0,"",IF(演算タグ!Q33&lt;0.001,"0.001未満",演算タグ!Q33))</f>
        <v/>
      </c>
      <c r="K33" s="212" t="str">
        <f>IF(cnt_西中山水質!$AE$5=0,"",IF(演算タグ!S33&lt;0.001,"0.001未満",演算タグ!S33))</f>
        <v/>
      </c>
      <c r="L33" s="212" t="str">
        <f>IF(cnt_上川口!$AE$5=0,"",IF(演算タグ!U33&lt;0.001,"0.001未満",演算タグ!U33))</f>
        <v/>
      </c>
      <c r="M33" s="212" t="str">
        <f>IF(cnt_折平!$AE$5=0,"",IF(演算タグ!W33&lt;0.001,"0.001未満",演算タグ!W33))</f>
        <v/>
      </c>
      <c r="N33" s="255"/>
      <c r="O33" s="212"/>
      <c r="P33" s="187" t="str">
        <f>IFERROR(VLOOKUP(P$9,#REF!,48,FALSE),"")</f>
        <v/>
      </c>
      <c r="Q33" s="188" t="str">
        <f>IFERROR(VLOOKUP(Q$9,#REF!,48,FALSE),"")</f>
        <v/>
      </c>
      <c r="R33" s="188" t="str">
        <f>IFERROR(VLOOKUP(R$9,#REF!,48,FALSE),"")</f>
        <v/>
      </c>
      <c r="S33" s="188" t="str">
        <f>IFERROR(VLOOKUP(S$9,#REF!,48,FALSE),"")</f>
        <v/>
      </c>
      <c r="T33" s="188" t="str">
        <f>IFERROR(VLOOKUP(T$9,#REF!,48,FALSE),"")</f>
        <v/>
      </c>
      <c r="U33" s="188" t="str">
        <f>IFERROR(VLOOKUP(U$9,#REF!,48,FALSE),"")</f>
        <v/>
      </c>
      <c r="V33" s="188" t="str">
        <f>IFERROR(VLOOKUP(V$9,#REF!,48,FALSE),"")</f>
        <v/>
      </c>
      <c r="W33" s="188" t="str">
        <f>IFERROR(VLOOKUP(W$9,#REF!,48,FALSE),"")</f>
        <v/>
      </c>
      <c r="X33" s="188" t="str">
        <f>IFERROR(VLOOKUP(X$9,#REF!,48,FALSE),"")</f>
        <v/>
      </c>
      <c r="Y33" s="188" t="str">
        <f>IFERROR(VLOOKUP(Y$9,#REF!,48,FALSE),"")</f>
        <v/>
      </c>
      <c r="Z33" s="188" t="str">
        <f>IFERROR(VLOOKUP(Z$9,#REF!,48,FALSE),"")</f>
        <v/>
      </c>
      <c r="AA33" s="188" t="str">
        <f>IFERROR(VLOOKUP(ACL$9,#REF!,48,FALSE),"")</f>
        <v/>
      </c>
      <c r="AB33" s="188" t="str">
        <f>IFERROR(VLOOKUP(AB$9,#REF!,48,FALSE),"")</f>
        <v/>
      </c>
      <c r="AC33" s="188" t="str">
        <f>IFERROR(VLOOKUP(AC$9,#REF!,48,FALSE),"")</f>
        <v/>
      </c>
      <c r="AD33" s="188" t="str">
        <f>IFERROR(VLOOKUP(AD$9,#REF!,48,FALSE),"")</f>
        <v/>
      </c>
      <c r="AE33" s="188" t="str">
        <f>IFERROR(VLOOKUP(AE$9,#REF!,48,FALSE),"")</f>
        <v/>
      </c>
      <c r="AF33" s="188" t="str">
        <f>IFERROR(VLOOKUP(AF$9,#REF!,48,FALSE),"")</f>
        <v/>
      </c>
      <c r="AG33" s="193" t="e">
        <f>#REF!</f>
        <v>#REF!</v>
      </c>
      <c r="AH33" s="194"/>
    </row>
    <row r="34" spans="1:34" ht="11.1" customHeight="1">
      <c r="A34" s="207">
        <v>19</v>
      </c>
      <c r="B34" s="184" t="s">
        <v>15</v>
      </c>
      <c r="C34" s="209" t="s">
        <v>78</v>
      </c>
      <c r="D34" s="212" t="str">
        <f>IF(cnt_藤岡北部第１!$AF$5=0,"",IF(演算タグ!E34&lt;0.001,"0.001未満",演算タグ!E34))</f>
        <v/>
      </c>
      <c r="E34" s="212" t="str">
        <f>IF(cnt_西市野々!$AF$5=0,"",IF(演算タグ!G34&lt;0.001,"0.001未満",演算タグ!G34))</f>
        <v/>
      </c>
      <c r="F34" s="212" t="str">
        <f>IF(cnt_藤岡北部第２!$AF$5=0,"",IF(演算タグ!I34&lt;0.001,"0.001未満",演算タグ!I34))</f>
        <v/>
      </c>
      <c r="G34" s="212" t="str">
        <f>IF(cnt_石畳!$AF$5=0,"",IF(演算タグ!K34&lt;0.001,"0.001未満",演算タグ!K34))</f>
        <v/>
      </c>
      <c r="H34" s="212" t="str">
        <f>IF(cnt_木瀬浄水!$AF$5=0,"",IF(演算タグ!M34&lt;0.001,"0.001未満",演算タグ!M34))</f>
        <v/>
      </c>
      <c r="I34" s="212" t="str">
        <f>IF(cnt_木瀬児童!$AF$5=0,"",IF(演算タグ!O34&lt;0.001,"0.001未満",演算タグ!O34))</f>
        <v/>
      </c>
      <c r="J34" s="212" t="str">
        <f>IF(cnt_西中山送配水!$AF$5=0,"",IF(演算タグ!Q34&lt;0.001,"0.001未満",演算タグ!Q34))</f>
        <v/>
      </c>
      <c r="K34" s="212" t="str">
        <f>IF(cnt_西中山水質!$AF$5=0,"",IF(演算タグ!S34&lt;0.001,"0.001未満",演算タグ!S34))</f>
        <v/>
      </c>
      <c r="L34" s="212" t="str">
        <f>IF(cnt_上川口!$AF$5=0,"",IF(演算タグ!U34&lt;0.001,"0.001未満",演算タグ!U34))</f>
        <v/>
      </c>
      <c r="M34" s="212" t="str">
        <f>IF(cnt_折平!$AF$5=0,"",IF(演算タグ!W34&lt;0.001,"0.001未満",演算タグ!W34))</f>
        <v/>
      </c>
      <c r="N34" s="255"/>
      <c r="O34" s="212"/>
      <c r="P34" s="187" t="str">
        <f>IFERROR(VLOOKUP(P$9,#REF!,49,FALSE),"")</f>
        <v/>
      </c>
      <c r="Q34" s="188" t="str">
        <f>IFERROR(VLOOKUP(Q$9,#REF!,49,FALSE),"")</f>
        <v/>
      </c>
      <c r="R34" s="188" t="str">
        <f>IFERROR(VLOOKUP(R$9,#REF!,49,FALSE),"")</f>
        <v/>
      </c>
      <c r="S34" s="188" t="str">
        <f>IFERROR(VLOOKUP(S$9,#REF!,49,FALSE),"")</f>
        <v/>
      </c>
      <c r="T34" s="188" t="str">
        <f>IFERROR(VLOOKUP(T$9,#REF!,49,FALSE),"")</f>
        <v/>
      </c>
      <c r="U34" s="188" t="str">
        <f>IFERROR(VLOOKUP(U$9,#REF!,49,FALSE),"")</f>
        <v/>
      </c>
      <c r="V34" s="188" t="str">
        <f>IFERROR(VLOOKUP(V$9,#REF!,49,FALSE),"")</f>
        <v/>
      </c>
      <c r="W34" s="188" t="str">
        <f>IFERROR(VLOOKUP(W$9,#REF!,49,FALSE),"")</f>
        <v/>
      </c>
      <c r="X34" s="188" t="str">
        <f>IFERROR(VLOOKUP(X$9,#REF!,49,FALSE),"")</f>
        <v/>
      </c>
      <c r="Y34" s="188" t="str">
        <f>IFERROR(VLOOKUP(Y$9,#REF!,49,FALSE),"")</f>
        <v/>
      </c>
      <c r="Z34" s="188" t="str">
        <f>IFERROR(VLOOKUP(Z$9,#REF!,49,FALSE),"")</f>
        <v/>
      </c>
      <c r="AA34" s="188" t="str">
        <f>IFERROR(VLOOKUP(ACL$9,#REF!,49,FALSE),"")</f>
        <v/>
      </c>
      <c r="AB34" s="188" t="str">
        <f>IFERROR(VLOOKUP(AB$9,#REF!,49,FALSE),"")</f>
        <v/>
      </c>
      <c r="AC34" s="188" t="str">
        <f>IFERROR(VLOOKUP(AC$9,#REF!,49,FALSE),"")</f>
        <v/>
      </c>
      <c r="AD34" s="188" t="str">
        <f>IFERROR(VLOOKUP(AD$9,#REF!,49,FALSE),"")</f>
        <v/>
      </c>
      <c r="AE34" s="188" t="str">
        <f>IFERROR(VLOOKUP(AE$9,#REF!,49,FALSE),"")</f>
        <v/>
      </c>
      <c r="AF34" s="188" t="str">
        <f>IFERROR(VLOOKUP(AF$9,#REF!,49,FALSE),"")</f>
        <v/>
      </c>
      <c r="AG34" s="193" t="e">
        <f>#REF!</f>
        <v>#REF!</v>
      </c>
      <c r="AH34" s="194"/>
    </row>
    <row r="35" spans="1:34" ht="11.1" customHeight="1">
      <c r="A35" s="207">
        <v>20</v>
      </c>
      <c r="B35" s="184" t="s">
        <v>16</v>
      </c>
      <c r="C35" s="209" t="s">
        <v>78</v>
      </c>
      <c r="D35" s="212" t="str">
        <f>IF(cnt_藤岡北部第１!$AG$5=0,"",IF(演算タグ!E35&lt;0.001,"0.001未満",演算タグ!E35))</f>
        <v/>
      </c>
      <c r="E35" s="212" t="str">
        <f>IF(cnt_西市野々!$AG$5=0,"",IF(演算タグ!G35&lt;0.001,"0.001未満",演算タグ!G35))</f>
        <v/>
      </c>
      <c r="F35" s="212" t="str">
        <f>IF(cnt_藤岡北部第２!$AG$5=0,"",IF(演算タグ!I35&lt;0.001,"0.001未満",演算タグ!I35))</f>
        <v/>
      </c>
      <c r="G35" s="212" t="str">
        <f>IF(cnt_石畳!$AG$5=0,"",IF(演算タグ!K35&lt;0.001,"0.001未満",演算タグ!K35))</f>
        <v/>
      </c>
      <c r="H35" s="212" t="str">
        <f>IF(cnt_木瀬浄水!$AG$5=0,"",IF(演算タグ!M35&lt;0.001,"0.001未満",演算タグ!M35))</f>
        <v/>
      </c>
      <c r="I35" s="212" t="str">
        <f>IF(cnt_木瀬児童!$AG$5=0,"",IF(演算タグ!O35&lt;0.001,"0.001未満",演算タグ!O35))</f>
        <v/>
      </c>
      <c r="J35" s="212" t="str">
        <f>IF(cnt_西中山送配水!$AG$5=0,"",IF(演算タグ!Q35&lt;0.001,"0.001未満",演算タグ!Q35))</f>
        <v/>
      </c>
      <c r="K35" s="212" t="str">
        <f>IF(cnt_西中山水質!$AG$5=0,"",IF(演算タグ!S35&lt;0.001,"0.001未満",演算タグ!S35))</f>
        <v/>
      </c>
      <c r="L35" s="212" t="str">
        <f>IF(cnt_上川口!$AG$5=0,"",IF(演算タグ!U35&lt;0.001,"0.001未満",演算タグ!U35))</f>
        <v/>
      </c>
      <c r="M35" s="212" t="str">
        <f>IF(cnt_折平!$AG$5=0,"",IF(演算タグ!W35&lt;0.001,"0.001未満",演算タグ!W35))</f>
        <v/>
      </c>
      <c r="N35" s="255"/>
      <c r="O35" s="212"/>
      <c r="P35" s="187" t="str">
        <f>IFERROR(VLOOKUP(P$9,#REF!,50,FALSE),"")</f>
        <v/>
      </c>
      <c r="Q35" s="188" t="str">
        <f>IFERROR(VLOOKUP(Q$9,#REF!,50,FALSE),"")</f>
        <v/>
      </c>
      <c r="R35" s="188" t="str">
        <f>IFERROR(VLOOKUP(R$9,#REF!,50,FALSE),"")</f>
        <v/>
      </c>
      <c r="S35" s="188" t="str">
        <f>IFERROR(VLOOKUP(S$9,#REF!,50,FALSE),"")</f>
        <v/>
      </c>
      <c r="T35" s="188" t="str">
        <f>IFERROR(VLOOKUP(T$9,#REF!,50,FALSE),"")</f>
        <v/>
      </c>
      <c r="U35" s="188" t="str">
        <f>IFERROR(VLOOKUP(U$9,#REF!,50,FALSE),"")</f>
        <v/>
      </c>
      <c r="V35" s="188" t="str">
        <f>IFERROR(VLOOKUP(V$9,#REF!,50,FALSE),"")</f>
        <v/>
      </c>
      <c r="W35" s="188" t="str">
        <f>IFERROR(VLOOKUP(W$9,#REF!,50,FALSE),"")</f>
        <v/>
      </c>
      <c r="X35" s="188" t="str">
        <f>IFERROR(VLOOKUP(X$9,#REF!,50,FALSE),"")</f>
        <v/>
      </c>
      <c r="Y35" s="188" t="str">
        <f>IFERROR(VLOOKUP(Y$9,#REF!,50,FALSE),"")</f>
        <v/>
      </c>
      <c r="Z35" s="188" t="str">
        <f>IFERROR(VLOOKUP(Z$9,#REF!,50,FALSE),"")</f>
        <v/>
      </c>
      <c r="AA35" s="188" t="str">
        <f>IFERROR(VLOOKUP(ACL$9,#REF!,50,FALSE),"")</f>
        <v/>
      </c>
      <c r="AB35" s="188" t="str">
        <f>IFERROR(VLOOKUP(AB$9,#REF!,50,FALSE),"")</f>
        <v/>
      </c>
      <c r="AC35" s="188" t="str">
        <f>IFERROR(VLOOKUP(AC$9,#REF!,50,FALSE),"")</f>
        <v/>
      </c>
      <c r="AD35" s="188" t="str">
        <f>IFERROR(VLOOKUP(AD$9,#REF!,50,FALSE),"")</f>
        <v/>
      </c>
      <c r="AE35" s="188" t="str">
        <f>IFERROR(VLOOKUP(AE$9,#REF!,50,FALSE),"")</f>
        <v/>
      </c>
      <c r="AF35" s="188" t="str">
        <f>IFERROR(VLOOKUP(AF$9,#REF!,50,FALSE),"")</f>
        <v/>
      </c>
      <c r="AG35" s="193" t="e">
        <f>#REF!</f>
        <v>#REF!</v>
      </c>
      <c r="AH35" s="194"/>
    </row>
    <row r="36" spans="1:34" ht="11.1" customHeight="1">
      <c r="A36" s="207">
        <v>21</v>
      </c>
      <c r="B36" s="184" t="s">
        <v>17</v>
      </c>
      <c r="C36" s="209" t="s">
        <v>78</v>
      </c>
      <c r="D36" s="213" t="str">
        <f>IF(cnt_藤岡北部第１!$V$5=0,"",IF(演算タグ!D36&lt;0.05,"0.05未満",演算タグ!D36))</f>
        <v>0.05未満</v>
      </c>
      <c r="E36" s="213" t="str">
        <f>IF(cnt_西市野々!$V$5=0,"",IF(演算タグ!F36&lt;0.05,"0.05未満",演算タグ!F36))</f>
        <v>0.05未満</v>
      </c>
      <c r="F36" s="213" t="str">
        <f>IF(cnt_藤岡北部第２!$V$5=0,"",IF(演算タグ!H36&lt;0.05,"0.05未満",演算タグ!H36))</f>
        <v>0.05未満</v>
      </c>
      <c r="G36" s="213" t="str">
        <f>IF(cnt_石畳!$V$5=0,"",IF(演算タグ!J36&lt;0.05,"0.05未満",演算タグ!J36))</f>
        <v>0.05未満</v>
      </c>
      <c r="H36" s="213">
        <f>IF(cnt_木瀬浄水!$V$5=0,"",IF(演算タグ!L36&lt;0.05,"0.05未満",演算タグ!L36))</f>
        <v>7.0000000000000007E-2</v>
      </c>
      <c r="I36" s="213">
        <f>IF(cnt_木瀬児童!$V$5=0,"",IF(演算タグ!N36&lt;0.05,"0.05未満",演算タグ!N36))</f>
        <v>0.06</v>
      </c>
      <c r="J36" s="213" t="str">
        <f>IF(cnt_西中山送配水!$V$5=0,"",IF(演算タグ!P36&lt;0.05,"0.05未満",演算タグ!P36))</f>
        <v>0.05未満</v>
      </c>
      <c r="K36" s="213" t="str">
        <f>IF(cnt_西中山水質!$V$5=0,"",IF(演算タグ!R36&lt;0.05,"0.05未満",演算タグ!R36))</f>
        <v>0.05未満</v>
      </c>
      <c r="L36" s="213">
        <f>IF(cnt_上川口!$V$5=0,"",IF(演算タグ!T36&lt;0.05,"0.05未満",演算タグ!T36))</f>
        <v>0.05</v>
      </c>
      <c r="M36" s="213" t="str">
        <f>IF(cnt_折平!$V$5=0,"",IF(演算タグ!V36&lt;0.05,"0.05未満",演算タグ!V36))</f>
        <v>0.05未満</v>
      </c>
      <c r="N36" s="256"/>
      <c r="O36" s="213"/>
      <c r="P36" s="187" t="str">
        <f>IFERROR(VLOOKUP(P$9,#REF!,33,FALSE),"")</f>
        <v/>
      </c>
      <c r="Q36" s="188" t="str">
        <f>IFERROR(VLOOKUP(Q$9,#REF!,33,FALSE),"")</f>
        <v/>
      </c>
      <c r="R36" s="188" t="str">
        <f>IFERROR(VLOOKUP(R$9,#REF!,33,FALSE),"")</f>
        <v/>
      </c>
      <c r="S36" s="188" t="str">
        <f>IFERROR(VLOOKUP(S$9,#REF!,33,FALSE),"")</f>
        <v/>
      </c>
      <c r="T36" s="188" t="str">
        <f>IFERROR(VLOOKUP(T$9,#REF!,33,FALSE),"")</f>
        <v/>
      </c>
      <c r="U36" s="188" t="str">
        <f>IFERROR(VLOOKUP(U$9,#REF!,33,FALSE),"")</f>
        <v/>
      </c>
      <c r="V36" s="188" t="str">
        <f>IFERROR(VLOOKUP(V$9,#REF!,33,FALSE),"")</f>
        <v/>
      </c>
      <c r="W36" s="188" t="str">
        <f>IFERROR(VLOOKUP(W$9,#REF!,33,FALSE),"")</f>
        <v/>
      </c>
      <c r="X36" s="188" t="str">
        <f>IFERROR(VLOOKUP(X$9,#REF!,33,FALSE),"")</f>
        <v/>
      </c>
      <c r="Y36" s="188" t="str">
        <f>IFERROR(VLOOKUP(Y$9,#REF!,33,FALSE),"")</f>
        <v/>
      </c>
      <c r="Z36" s="188" t="str">
        <f>IFERROR(VLOOKUP(Z$9,#REF!,33,FALSE),"")</f>
        <v/>
      </c>
      <c r="AA36" s="188" t="str">
        <f>IFERROR(VLOOKUP(ACL$9,#REF!,33,FALSE),"")</f>
        <v/>
      </c>
      <c r="AB36" s="188" t="str">
        <f>IFERROR(VLOOKUP(AB$9,#REF!,33,FALSE),"")</f>
        <v/>
      </c>
      <c r="AC36" s="188" t="str">
        <f>IFERROR(VLOOKUP(AC$9,#REF!,33,FALSE),"")</f>
        <v/>
      </c>
      <c r="AD36" s="188" t="str">
        <f>IFERROR(VLOOKUP(AD$9,#REF!,33,FALSE),"")</f>
        <v/>
      </c>
      <c r="AE36" s="188" t="str">
        <f>IFERROR(VLOOKUP(AE$9,#REF!,33,FALSE),"")</f>
        <v/>
      </c>
      <c r="AF36" s="188" t="str">
        <f>IFERROR(VLOOKUP(AF$9,#REF!,33,FALSE),"")</f>
        <v/>
      </c>
      <c r="AG36" s="193" t="e">
        <f>#REF!</f>
        <v>#REF!</v>
      </c>
      <c r="AH36" s="194"/>
    </row>
    <row r="37" spans="1:34" ht="11.1" customHeight="1">
      <c r="A37" s="207">
        <v>22</v>
      </c>
      <c r="B37" s="184" t="s">
        <v>18</v>
      </c>
      <c r="C37" s="209" t="s">
        <v>78</v>
      </c>
      <c r="D37" s="212" t="str">
        <f>IF(cnt_藤岡北部第１!$AR$5=0,"",IF(演算タグ!D37&lt;0.002,"0.002未満",演算タグ!D37))</f>
        <v/>
      </c>
      <c r="E37" s="212" t="str">
        <f>IF(cnt_西市野々!$AR$5=0,"",IF(演算タグ!F37&lt;0.002,"0.002未満",演算タグ!F37))</f>
        <v/>
      </c>
      <c r="F37" s="212" t="str">
        <f>IF(cnt_藤岡北部第２!$AR$5=0,"",IF(演算タグ!H37&lt;0.002,"0.002未満",演算タグ!H37))</f>
        <v/>
      </c>
      <c r="G37" s="212" t="str">
        <f>IF(cnt_石畳!$AR$5=0,"",IF(演算タグ!J37&lt;0.002,"0.002未満",演算タグ!J37))</f>
        <v/>
      </c>
      <c r="H37" s="212" t="str">
        <f>IF(cnt_木瀬浄水!$AR$5=0,"",IF(演算タグ!L37&lt;0.002,"0.002未満",演算タグ!L37))</f>
        <v/>
      </c>
      <c r="I37" s="212" t="str">
        <f>IF(cnt_木瀬児童!$AR$5=0,"",IF(演算タグ!N37&lt;0.002,"0.002未満",演算タグ!N37))</f>
        <v/>
      </c>
      <c r="J37" s="212" t="str">
        <f>IF(cnt_西中山送配水!$AR$5=0,"",IF(演算タグ!P37&lt;0.002,"0.002未満",演算タグ!P37))</f>
        <v/>
      </c>
      <c r="K37" s="212" t="str">
        <f>IF(cnt_西中山水質!$AR$5=0,"",IF(演算タグ!R37&lt;0.002,"0.002未満",演算タグ!R37))</f>
        <v/>
      </c>
      <c r="L37" s="212" t="str">
        <f>IF(cnt_上川口!$AR$5=0,"",IF(演算タグ!T37&lt;0.002,"0.002未満",演算タグ!T37))</f>
        <v/>
      </c>
      <c r="M37" s="212" t="str">
        <f>IF(cnt_折平!$AR$5=0,"",IF(演算タグ!V37&lt;0.002,"0.002未満",演算タグ!V37))</f>
        <v/>
      </c>
      <c r="N37" s="255"/>
      <c r="O37" s="212"/>
      <c r="P37" s="187" t="str">
        <f>IFERROR(VLOOKUP(P$9,#REF!,57,FALSE),"")</f>
        <v/>
      </c>
      <c r="Q37" s="188" t="str">
        <f>IFERROR(VLOOKUP(Q$9,#REF!,57,FALSE),"")</f>
        <v/>
      </c>
      <c r="R37" s="188" t="str">
        <f>IFERROR(VLOOKUP(R$9,#REF!,57,FALSE),"")</f>
        <v/>
      </c>
      <c r="S37" s="188" t="str">
        <f>IFERROR(VLOOKUP(S$9,#REF!,57,FALSE),"")</f>
        <v/>
      </c>
      <c r="T37" s="188" t="str">
        <f>IFERROR(VLOOKUP(T$9,#REF!,57,FALSE),"")</f>
        <v/>
      </c>
      <c r="U37" s="188" t="str">
        <f>IFERROR(VLOOKUP(U$9,#REF!,57,FALSE),"")</f>
        <v/>
      </c>
      <c r="V37" s="188" t="str">
        <f>IFERROR(VLOOKUP(V$9,#REF!,57,FALSE),"")</f>
        <v/>
      </c>
      <c r="W37" s="188" t="str">
        <f>IFERROR(VLOOKUP(W$9,#REF!,57,FALSE),"")</f>
        <v/>
      </c>
      <c r="X37" s="188" t="str">
        <f>IFERROR(VLOOKUP(X$9,#REF!,57,FALSE),"")</f>
        <v/>
      </c>
      <c r="Y37" s="188" t="str">
        <f>IFERROR(VLOOKUP(Y$9,#REF!,57,FALSE),"")</f>
        <v/>
      </c>
      <c r="Z37" s="188" t="str">
        <f>IFERROR(VLOOKUP(Z$9,#REF!,57,FALSE),"")</f>
        <v/>
      </c>
      <c r="AA37" s="188" t="str">
        <f>IFERROR(VLOOKUP(ACL$9,#REF!,57,FALSE),"")</f>
        <v/>
      </c>
      <c r="AB37" s="188" t="str">
        <f>IFERROR(VLOOKUP(AB$9,#REF!,57,FALSE),"")</f>
        <v/>
      </c>
      <c r="AC37" s="188" t="str">
        <f>IFERROR(VLOOKUP(AC$9,#REF!,57,FALSE),"")</f>
        <v/>
      </c>
      <c r="AD37" s="188" t="str">
        <f>IFERROR(VLOOKUP(AD$9,#REF!,57,FALSE),"")</f>
        <v/>
      </c>
      <c r="AE37" s="188" t="str">
        <f>IFERROR(VLOOKUP(AE$9,#REF!,57,FALSE),"")</f>
        <v/>
      </c>
      <c r="AF37" s="188" t="str">
        <f>IFERROR(VLOOKUP(AF$9,#REF!,57,FALSE),"")</f>
        <v/>
      </c>
      <c r="AG37" s="193" t="e">
        <f>#REF!</f>
        <v>#REF!</v>
      </c>
      <c r="AH37" s="194"/>
    </row>
    <row r="38" spans="1:34" ht="11.1" customHeight="1">
      <c r="A38" s="207">
        <v>23</v>
      </c>
      <c r="B38" s="184" t="s">
        <v>19</v>
      </c>
      <c r="C38" s="209" t="s">
        <v>78</v>
      </c>
      <c r="D38" s="212" t="str">
        <f>IF(cnt_藤岡北部第１!$AH$5=0,"",IF(演算タグ!E38&lt;0.001,"0.001未満",演算タグ!E38))</f>
        <v/>
      </c>
      <c r="E38" s="212" t="str">
        <f>IF(cnt_西市野々!$AH$5=0,"",IF(演算タグ!G38&lt;0.001,"0.001未満",演算タグ!G38))</f>
        <v/>
      </c>
      <c r="F38" s="212" t="str">
        <f>IF(cnt_藤岡北部第２!$AH$5=0,"",IF(演算タグ!I38&lt;0.001,"0.001未満",演算タグ!I38))</f>
        <v/>
      </c>
      <c r="G38" s="212" t="str">
        <f>IF(cnt_石畳!$AH$5=0,"",IF(演算タグ!K38&lt;0.001,"0.001未満",演算タグ!K38))</f>
        <v/>
      </c>
      <c r="H38" s="212" t="str">
        <f>IF(cnt_木瀬浄水!$AH$5=0,"",IF(演算タグ!M38&lt;0.001,"0.001未満",演算タグ!M38))</f>
        <v/>
      </c>
      <c r="I38" s="212" t="str">
        <f>IF(cnt_木瀬児童!$AH$5=0,"",IF(演算タグ!O38&lt;0.001,"0.001未満",演算タグ!O38))</f>
        <v/>
      </c>
      <c r="J38" s="212" t="str">
        <f>IF(cnt_西中山送配水!$AH$5=0,"",IF(演算タグ!Q38&lt;0.001,"0.001未満",演算タグ!Q38))</f>
        <v/>
      </c>
      <c r="K38" s="212" t="str">
        <f>IF(cnt_西中山水質!$AH$5=0,"",IF(演算タグ!S38&lt;0.001,"0.001未満",演算タグ!S38))</f>
        <v/>
      </c>
      <c r="L38" s="212" t="str">
        <f>IF(cnt_上川口!$AH$5=0,"",IF(演算タグ!U38&lt;0.001,"0.001未満",演算タグ!U38))</f>
        <v/>
      </c>
      <c r="M38" s="212" t="str">
        <f>IF(cnt_折平!$AH$5=0,"",IF(演算タグ!W38&lt;0.001,"0.001未満",演算タグ!W38))</f>
        <v/>
      </c>
      <c r="N38" s="255"/>
      <c r="O38" s="212"/>
      <c r="P38" s="187" t="str">
        <f>IFERROR(VLOOKUP(P$9,#REF!,51,FALSE),"")</f>
        <v/>
      </c>
      <c r="Q38" s="188" t="str">
        <f>IFERROR(VLOOKUP(Q$9,#REF!,51,FALSE),"")</f>
        <v/>
      </c>
      <c r="R38" s="188" t="str">
        <f>IFERROR(VLOOKUP(R$9,#REF!,51,FALSE),"")</f>
        <v/>
      </c>
      <c r="S38" s="188" t="str">
        <f>IFERROR(VLOOKUP(S$9,#REF!,51,FALSE),"")</f>
        <v/>
      </c>
      <c r="T38" s="188" t="str">
        <f>IFERROR(VLOOKUP(T$9,#REF!,51,FALSE),"")</f>
        <v/>
      </c>
      <c r="U38" s="188" t="str">
        <f>IFERROR(VLOOKUP(U$9,#REF!,51,FALSE),"")</f>
        <v/>
      </c>
      <c r="V38" s="188" t="str">
        <f>IFERROR(VLOOKUP(V$9,#REF!,51,FALSE),"")</f>
        <v/>
      </c>
      <c r="W38" s="188" t="str">
        <f>IFERROR(VLOOKUP(W$9,#REF!,51,FALSE),"")</f>
        <v/>
      </c>
      <c r="X38" s="188" t="str">
        <f>IFERROR(VLOOKUP(X$9,#REF!,51,FALSE),"")</f>
        <v/>
      </c>
      <c r="Y38" s="188" t="str">
        <f>IFERROR(VLOOKUP(Y$9,#REF!,51,FALSE),"")</f>
        <v/>
      </c>
      <c r="Z38" s="188" t="str">
        <f>IFERROR(VLOOKUP(Z$9,#REF!,51,FALSE),"")</f>
        <v/>
      </c>
      <c r="AA38" s="188" t="str">
        <f>IFERROR(VLOOKUP(ACL$9,#REF!,51,FALSE),"")</f>
        <v/>
      </c>
      <c r="AB38" s="188" t="str">
        <f>IFERROR(VLOOKUP(AB$9,#REF!,51,FALSE),"")</f>
        <v/>
      </c>
      <c r="AC38" s="188" t="str">
        <f>IFERROR(VLOOKUP(AC$9,#REF!,51,FALSE),"")</f>
        <v/>
      </c>
      <c r="AD38" s="188" t="str">
        <f>IFERROR(VLOOKUP(AD$9,#REF!,51,FALSE),"")</f>
        <v/>
      </c>
      <c r="AE38" s="188" t="str">
        <f>IFERROR(VLOOKUP(AE$9,#REF!,51,FALSE),"")</f>
        <v/>
      </c>
      <c r="AF38" s="188" t="str">
        <f>IFERROR(VLOOKUP(AF$9,#REF!,51,FALSE),"")</f>
        <v/>
      </c>
      <c r="AG38" s="193" t="e">
        <f>#REF!</f>
        <v>#REF!</v>
      </c>
      <c r="AH38" s="194"/>
    </row>
    <row r="39" spans="1:34" ht="11.1" customHeight="1">
      <c r="A39" s="207">
        <v>24</v>
      </c>
      <c r="B39" s="184" t="s">
        <v>20</v>
      </c>
      <c r="C39" s="209" t="s">
        <v>78</v>
      </c>
      <c r="D39" s="212" t="str">
        <f>IF(cnt_藤岡北部第１!$AS$5=0,"",IF(演算タグ!D39&lt;0.002,"0.002未満",演算タグ!D39))</f>
        <v/>
      </c>
      <c r="E39" s="212" t="str">
        <f>IF(cnt_西市野々!$AS$5=0,"",IF(演算タグ!F39&lt;0.002,"0.002未満",演算タグ!F39))</f>
        <v/>
      </c>
      <c r="F39" s="212" t="str">
        <f>IF(cnt_藤岡北部第２!$AS$5=0,"",IF(演算タグ!H39&lt;0.002,"0.002未満",演算タグ!H39))</f>
        <v/>
      </c>
      <c r="G39" s="212" t="str">
        <f>IF(cnt_石畳!$AS$5=0,"",IF(演算タグ!J39&lt;0.002,"0.002未満",演算タグ!J39))</f>
        <v/>
      </c>
      <c r="H39" s="212" t="str">
        <f>IF(cnt_木瀬浄水!$AS$5=0,"",IF(演算タグ!L39&lt;0.002,"0.002未満",演算タグ!L39))</f>
        <v/>
      </c>
      <c r="I39" s="212" t="str">
        <f>IF(cnt_木瀬児童!$AS$5=0,"",IF(演算タグ!N39&lt;0.002,"0.002未満",演算タグ!N39))</f>
        <v/>
      </c>
      <c r="J39" s="212" t="str">
        <f>IF(cnt_西中山送配水!$AS$5=0,"",IF(演算タグ!P39&lt;0.002,"0.002未満",演算タグ!P39))</f>
        <v/>
      </c>
      <c r="K39" s="212" t="str">
        <f>IF(cnt_西中山水質!$AS$5=0,"",IF(演算タグ!R39&lt;0.002,"0.002未満",演算タグ!R39))</f>
        <v/>
      </c>
      <c r="L39" s="212" t="str">
        <f>IF(cnt_上川口!$AS$5=0,"",IF(演算タグ!T39&lt;0.002,"0.002未満",演算タグ!T39))</f>
        <v/>
      </c>
      <c r="M39" s="212" t="str">
        <f>IF(cnt_折平!$AS$5=0,"",IF(演算タグ!V39&lt;0.002,"0.002未満",演算タグ!V39))</f>
        <v/>
      </c>
      <c r="N39" s="255"/>
      <c r="O39" s="212"/>
      <c r="P39" s="187" t="str">
        <f>IFERROR(VLOOKUP(P$9,#REF!,58,FALSE),"")</f>
        <v/>
      </c>
      <c r="Q39" s="188" t="str">
        <f>IFERROR(VLOOKUP(Q$9,#REF!,58,FALSE),"")</f>
        <v/>
      </c>
      <c r="R39" s="188" t="str">
        <f>IFERROR(VLOOKUP(R$9,#REF!,58,FALSE),"")</f>
        <v/>
      </c>
      <c r="S39" s="188" t="str">
        <f>IFERROR(VLOOKUP(S$9,#REF!,58,FALSE),"")</f>
        <v/>
      </c>
      <c r="T39" s="188" t="str">
        <f>IFERROR(VLOOKUP(T$9,#REF!,58,FALSE),"")</f>
        <v/>
      </c>
      <c r="U39" s="188" t="str">
        <f>IFERROR(VLOOKUP(U$9,#REF!,58,FALSE),"")</f>
        <v/>
      </c>
      <c r="V39" s="188" t="str">
        <f>IFERROR(VLOOKUP(V$9,#REF!,58,FALSE),"")</f>
        <v/>
      </c>
      <c r="W39" s="188" t="str">
        <f>IFERROR(VLOOKUP(W$9,#REF!,58,FALSE),"")</f>
        <v/>
      </c>
      <c r="X39" s="188" t="str">
        <f>IFERROR(VLOOKUP(X$9,#REF!,58,FALSE),"")</f>
        <v/>
      </c>
      <c r="Y39" s="188" t="str">
        <f>IFERROR(VLOOKUP(Y$9,#REF!,58,FALSE),"")</f>
        <v/>
      </c>
      <c r="Z39" s="188" t="str">
        <f>IFERROR(VLOOKUP(Z$9,#REF!,58,FALSE),"")</f>
        <v/>
      </c>
      <c r="AA39" s="188" t="str">
        <f>IFERROR(VLOOKUP(ACL$9,#REF!,58,FALSE),"")</f>
        <v/>
      </c>
      <c r="AB39" s="188" t="str">
        <f>IFERROR(VLOOKUP(AB$9,#REF!,58,FALSE),"")</f>
        <v/>
      </c>
      <c r="AC39" s="188" t="str">
        <f>IFERROR(VLOOKUP(AC$9,#REF!,58,FALSE),"")</f>
        <v/>
      </c>
      <c r="AD39" s="188" t="str">
        <f>IFERROR(VLOOKUP(AD$9,#REF!,58,FALSE),"")</f>
        <v/>
      </c>
      <c r="AE39" s="188" t="str">
        <f>IFERROR(VLOOKUP(AE$9,#REF!,58,FALSE),"")</f>
        <v/>
      </c>
      <c r="AF39" s="188" t="str">
        <f>IFERROR(VLOOKUP(AF$9,#REF!,58,FALSE),"")</f>
        <v/>
      </c>
      <c r="AG39" s="193" t="e">
        <f>#REF!</f>
        <v>#REF!</v>
      </c>
      <c r="AH39" s="194"/>
    </row>
    <row r="40" spans="1:34" ht="11.1" customHeight="1">
      <c r="A40" s="207">
        <v>25</v>
      </c>
      <c r="B40" s="184" t="s">
        <v>21</v>
      </c>
      <c r="C40" s="209" t="s">
        <v>78</v>
      </c>
      <c r="D40" s="212" t="str">
        <f>IF(cnt_藤岡北部第１!$AI$5=0,"",IF(演算タグ!E40&lt;0.001,"0.001未満",演算タグ!E40))</f>
        <v/>
      </c>
      <c r="E40" s="212" t="str">
        <f>IF(cnt_西市野々!$AI$5=0,"",IF(演算タグ!G40&lt;0.001,"0.001未満",演算タグ!G40))</f>
        <v/>
      </c>
      <c r="F40" s="212" t="str">
        <f>IF(cnt_藤岡北部第２!$AI$5=0,"",IF(演算タグ!I40&lt;0.001,"0.001未満",演算タグ!I40))</f>
        <v/>
      </c>
      <c r="G40" s="212" t="str">
        <f>IF(cnt_石畳!$AI$5=0,"",IF(演算タグ!K40&lt;0.001,"0.001未満",演算タグ!K40))</f>
        <v/>
      </c>
      <c r="H40" s="212" t="str">
        <f>IF(cnt_木瀬浄水!$AI$5=0,"",IF(演算タグ!M40&lt;0.001,"0.001未満",演算タグ!M40))</f>
        <v/>
      </c>
      <c r="I40" s="212" t="str">
        <f>IF(cnt_木瀬児童!$AI$5=0,"",IF(演算タグ!O40&lt;0.001,"0.001未満",演算タグ!O40))</f>
        <v/>
      </c>
      <c r="J40" s="212" t="str">
        <f>IF(cnt_西中山送配水!$AI$5=0,"",IF(演算タグ!Q40&lt;0.001,"0.001未満",演算タグ!Q40))</f>
        <v/>
      </c>
      <c r="K40" s="212" t="str">
        <f>IF(cnt_西中山水質!$AI$5=0,"",IF(演算タグ!S40&lt;0.001,"0.001未満",演算タグ!S40))</f>
        <v/>
      </c>
      <c r="L40" s="212" t="str">
        <f>IF(cnt_上川口!$AI$5=0,"",IF(演算タグ!U40&lt;0.001,"0.001未満",演算タグ!U40))</f>
        <v/>
      </c>
      <c r="M40" s="212" t="str">
        <f>IF(cnt_折平!$AI$5=0,"",IF(演算タグ!W40&lt;0.001,"0.001未満",演算タグ!W40))</f>
        <v/>
      </c>
      <c r="N40" s="255"/>
      <c r="O40" s="212"/>
      <c r="P40" s="187" t="str">
        <f>IFERROR(VLOOKUP(P$9,#REF!,52,FALSE),"")</f>
        <v/>
      </c>
      <c r="Q40" s="188" t="str">
        <f>IFERROR(VLOOKUP(Q$9,#REF!,52,FALSE),"")</f>
        <v/>
      </c>
      <c r="R40" s="188" t="str">
        <f>IFERROR(VLOOKUP(R$9,#REF!,52,FALSE),"")</f>
        <v/>
      </c>
      <c r="S40" s="188" t="str">
        <f>IFERROR(VLOOKUP(S$9,#REF!,52,FALSE),"")</f>
        <v/>
      </c>
      <c r="T40" s="188" t="str">
        <f>IFERROR(VLOOKUP(T$9,#REF!,52,FALSE),"")</f>
        <v/>
      </c>
      <c r="U40" s="188" t="str">
        <f>IFERROR(VLOOKUP(U$9,#REF!,52,FALSE),"")</f>
        <v/>
      </c>
      <c r="V40" s="188" t="str">
        <f>IFERROR(VLOOKUP(V$9,#REF!,52,FALSE),"")</f>
        <v/>
      </c>
      <c r="W40" s="188" t="str">
        <f>IFERROR(VLOOKUP(W$9,#REF!,52,FALSE),"")</f>
        <v/>
      </c>
      <c r="X40" s="188" t="str">
        <f>IFERROR(VLOOKUP(X$9,#REF!,52,FALSE),"")</f>
        <v/>
      </c>
      <c r="Y40" s="188" t="str">
        <f>IFERROR(VLOOKUP(Y$9,#REF!,52,FALSE),"")</f>
        <v/>
      </c>
      <c r="Z40" s="188" t="str">
        <f>IFERROR(VLOOKUP(Z$9,#REF!,52,FALSE),"")</f>
        <v/>
      </c>
      <c r="AA40" s="188" t="str">
        <f>IFERROR(VLOOKUP(ACL$9,#REF!,52,FALSE),"")</f>
        <v/>
      </c>
      <c r="AB40" s="188" t="str">
        <f>IFERROR(VLOOKUP(AB$9,#REF!,52,FALSE),"")</f>
        <v/>
      </c>
      <c r="AC40" s="188" t="str">
        <f>IFERROR(VLOOKUP(AC$9,#REF!,52,FALSE),"")</f>
        <v/>
      </c>
      <c r="AD40" s="188" t="str">
        <f>IFERROR(VLOOKUP(AD$9,#REF!,52,FALSE),"")</f>
        <v/>
      </c>
      <c r="AE40" s="188" t="str">
        <f>IFERROR(VLOOKUP(AE$9,#REF!,52,FALSE),"")</f>
        <v/>
      </c>
      <c r="AF40" s="188" t="str">
        <f>IFERROR(VLOOKUP(AF$9,#REF!,52,FALSE),"")</f>
        <v/>
      </c>
      <c r="AG40" s="193" t="e">
        <f>#REF!</f>
        <v>#REF!</v>
      </c>
      <c r="AH40" s="194"/>
    </row>
    <row r="41" spans="1:34" ht="11.1" customHeight="1">
      <c r="A41" s="207">
        <v>26</v>
      </c>
      <c r="B41" s="184" t="s">
        <v>22</v>
      </c>
      <c r="C41" s="209" t="s">
        <v>78</v>
      </c>
      <c r="D41" s="212" t="str">
        <f>IF(cnt_藤岡北部第１!$AU$5=0,"",IF(演算タグ!D41&lt;0.001,"0.001未満",演算タグ!D41))</f>
        <v>0.001未満</v>
      </c>
      <c r="E41" s="212" t="str">
        <f>IF(cnt_西市野々!$AU$5=0,"",IF(演算タグ!F41&lt;0.001,"0.001未満",演算タグ!F41))</f>
        <v>0.001未満</v>
      </c>
      <c r="F41" s="212" t="str">
        <f>IF(cnt_藤岡北部第２!$AU$5=0,"",IF(演算タグ!H41&lt;0.001,"0.001未満",演算タグ!H41))</f>
        <v>0.001未満</v>
      </c>
      <c r="G41" s="212" t="str">
        <f>IF(cnt_石畳!$AU$5=0,"",IF(演算タグ!J41&lt;0.001,"0.001未満",演算タグ!J41))</f>
        <v>0.001未満</v>
      </c>
      <c r="H41" s="212" t="str">
        <f>IF(cnt_木瀬浄水!$AU$5=0,"",IF(演算タグ!L41&lt;0.001,"0.001未満",演算タグ!L41))</f>
        <v>0.001未満</v>
      </c>
      <c r="I41" s="212" t="str">
        <f>IF(cnt_木瀬児童!$AU$5=0,"",IF(演算タグ!N41&lt;0.001,"0.001未満",演算タグ!N41))</f>
        <v>0.001未満</v>
      </c>
      <c r="J41" s="212" t="str">
        <f>IF(cnt_西中山送配水!$AU$5=0,"",IF(演算タグ!P41&lt;0.001,"0.001未満",演算タグ!P41))</f>
        <v>0.001未満</v>
      </c>
      <c r="K41" s="212" t="str">
        <f>IF(cnt_西中山水質!$AU$5=0,"",IF(演算タグ!R41&lt;0.001,"0.001未満",演算タグ!R41))</f>
        <v>0.001未満</v>
      </c>
      <c r="L41" s="212" t="str">
        <f>IF(cnt_上川口!$AU$5=0,"",IF(演算タグ!T41&lt;0.001,"0.001未満",演算タグ!T41))</f>
        <v>0.001未満</v>
      </c>
      <c r="M41" s="212" t="str">
        <f>IF(cnt_折平!$AU$5=0,"",IF(演算タグ!V41&lt;0.001,"0.001未満",演算タグ!V41))</f>
        <v>0.001未満</v>
      </c>
      <c r="N41" s="255"/>
      <c r="O41" s="212"/>
      <c r="P41" s="187" t="str">
        <f>IFERROR(VLOOKUP(P$9,#REF!,62,FALSE),"")</f>
        <v/>
      </c>
      <c r="Q41" s="188" t="str">
        <f>IFERROR(VLOOKUP(Q$9,#REF!,62,FALSE),"")</f>
        <v/>
      </c>
      <c r="R41" s="188" t="str">
        <f>IFERROR(VLOOKUP(R$9,#REF!,62,FALSE),"")</f>
        <v/>
      </c>
      <c r="S41" s="188" t="str">
        <f>IFERROR(VLOOKUP(S$9,#REF!,62,FALSE),"")</f>
        <v/>
      </c>
      <c r="T41" s="188" t="str">
        <f>IFERROR(VLOOKUP(T$9,#REF!,62,FALSE),"")</f>
        <v/>
      </c>
      <c r="U41" s="188" t="str">
        <f>IFERROR(VLOOKUP(U$9,#REF!,62,FALSE),"")</f>
        <v/>
      </c>
      <c r="V41" s="188" t="str">
        <f>IFERROR(VLOOKUP(V$9,#REF!,62,FALSE),"")</f>
        <v/>
      </c>
      <c r="W41" s="188" t="str">
        <f>IFERROR(VLOOKUP(W$9,#REF!,62,FALSE),"")</f>
        <v/>
      </c>
      <c r="X41" s="188" t="str">
        <f>IFERROR(VLOOKUP(X$9,#REF!,62,FALSE),"")</f>
        <v/>
      </c>
      <c r="Y41" s="188" t="str">
        <f>IFERROR(VLOOKUP(Y$9,#REF!,62,FALSE),"")</f>
        <v/>
      </c>
      <c r="Z41" s="188" t="str">
        <f>IFERROR(VLOOKUP(Z$9,#REF!,62,FALSE),"")</f>
        <v/>
      </c>
      <c r="AA41" s="188" t="str">
        <f>IFERROR(VLOOKUP(ACL$9,#REF!,62,FALSE),"")</f>
        <v/>
      </c>
      <c r="AB41" s="188" t="str">
        <f>IFERROR(VLOOKUP(AB$9,#REF!,62,FALSE),"")</f>
        <v/>
      </c>
      <c r="AC41" s="188" t="str">
        <f>IFERROR(VLOOKUP(AC$9,#REF!,62,FALSE),"")</f>
        <v/>
      </c>
      <c r="AD41" s="188" t="str">
        <f>IFERROR(VLOOKUP(AD$9,#REF!,62,FALSE),"")</f>
        <v/>
      </c>
      <c r="AE41" s="188" t="str">
        <f>IFERROR(VLOOKUP(AE$9,#REF!,62,FALSE),"")</f>
        <v/>
      </c>
      <c r="AF41" s="188" t="str">
        <f>IFERROR(VLOOKUP(AF$9,#REF!,62,FALSE),"")</f>
        <v/>
      </c>
      <c r="AG41" s="193" t="e">
        <f>#REF!</f>
        <v>#REF!</v>
      </c>
      <c r="AH41" s="194"/>
    </row>
    <row r="42" spans="1:34" ht="11.1" customHeight="1">
      <c r="A42" s="207">
        <v>27</v>
      </c>
      <c r="B42" s="184" t="s">
        <v>23</v>
      </c>
      <c r="C42" s="209" t="s">
        <v>78</v>
      </c>
      <c r="D42" s="212" t="str">
        <f>IF(cnt_藤岡北部第１!$AL$5=0,"",IF(演算タグ!E42&lt;0.001,"0.001未満",演算タグ!E42))</f>
        <v/>
      </c>
      <c r="E42" s="212" t="str">
        <f>IF(cnt_西市野々!$AL$5=0,"",IF(演算タグ!G42&lt;0.001,"0.001未満",演算タグ!G42))</f>
        <v/>
      </c>
      <c r="F42" s="212" t="str">
        <f>IF(cnt_藤岡北部第２!$AL$5=0,"",IF(演算タグ!I42&lt;0.001,"0.001未満",演算タグ!I42))</f>
        <v/>
      </c>
      <c r="G42" s="212" t="str">
        <f>IF(cnt_石畳!$AL$5=0,"",IF(演算タグ!K42&lt;0.001,"0.001未満",演算タグ!K42))</f>
        <v/>
      </c>
      <c r="H42" s="212" t="str">
        <f>IF(cnt_木瀬浄水!$AL$5=0,"",IF(演算タグ!M42&lt;0.001,"0.001未満",演算タグ!M42))</f>
        <v/>
      </c>
      <c r="I42" s="212" t="str">
        <f>IF(cnt_木瀬児童!$AL$5=0,"",IF(演算タグ!O42&lt;0.001,"0.001未満",演算タグ!O42))</f>
        <v/>
      </c>
      <c r="J42" s="212" t="str">
        <f>IF(cnt_西中山送配水!$AL$5=0,"",IF(演算タグ!Q42&lt;0.001,"0.001未満",演算タグ!Q42))</f>
        <v/>
      </c>
      <c r="K42" s="212" t="str">
        <f>IF(cnt_西中山水質!$AL$5=0,"",IF(演算タグ!S42&lt;0.001,"0.001未満",演算タグ!S42))</f>
        <v/>
      </c>
      <c r="L42" s="212" t="str">
        <f>IF(cnt_上川口!$AL$5=0,"",IF(演算タグ!U42&lt;0.001,"0.001未満",演算タグ!U42))</f>
        <v/>
      </c>
      <c r="M42" s="212" t="str">
        <f>IF(cnt_折平!$AL$5=0,"",IF(演算タグ!W42&lt;0.001,"0.001未満",演算タグ!W42))</f>
        <v/>
      </c>
      <c r="N42" s="255"/>
      <c r="O42" s="212"/>
      <c r="P42" s="187" t="str">
        <f>IFERROR(VLOOKUP(P$9,#REF!,55,FALSE),"")</f>
        <v/>
      </c>
      <c r="Q42" s="188" t="str">
        <f>IFERROR(VLOOKUP(Q$9,#REF!,55,FALSE),"")</f>
        <v/>
      </c>
      <c r="R42" s="188" t="str">
        <f>IFERROR(VLOOKUP(R$9,#REF!,55,FALSE),"")</f>
        <v/>
      </c>
      <c r="S42" s="188" t="str">
        <f>IFERROR(VLOOKUP(S$9,#REF!,55,FALSE),"")</f>
        <v/>
      </c>
      <c r="T42" s="188" t="str">
        <f>IFERROR(VLOOKUP(T$9,#REF!,55,FALSE),"")</f>
        <v/>
      </c>
      <c r="U42" s="188" t="str">
        <f>IFERROR(VLOOKUP(U$9,#REF!,55,FALSE),"")</f>
        <v/>
      </c>
      <c r="V42" s="188" t="str">
        <f>IFERROR(VLOOKUP(V$9,#REF!,55,FALSE),"")</f>
        <v/>
      </c>
      <c r="W42" s="188" t="str">
        <f>IFERROR(VLOOKUP(W$9,#REF!,55,FALSE),"")</f>
        <v/>
      </c>
      <c r="X42" s="188" t="str">
        <f>IFERROR(VLOOKUP(X$9,#REF!,55,FALSE),"")</f>
        <v/>
      </c>
      <c r="Y42" s="188" t="str">
        <f>IFERROR(VLOOKUP(Y$9,#REF!,55,FALSE),"")</f>
        <v/>
      </c>
      <c r="Z42" s="188" t="str">
        <f>IFERROR(VLOOKUP(Z$9,#REF!,55,FALSE),"")</f>
        <v/>
      </c>
      <c r="AA42" s="188" t="str">
        <f>IFERROR(VLOOKUP(ACL$9,#REF!,55,FALSE),"")</f>
        <v/>
      </c>
      <c r="AB42" s="188" t="str">
        <f>IFERROR(VLOOKUP(AB$9,#REF!,55,FALSE),"")</f>
        <v/>
      </c>
      <c r="AC42" s="188" t="str">
        <f>IFERROR(VLOOKUP(AC$9,#REF!,55,FALSE),"")</f>
        <v/>
      </c>
      <c r="AD42" s="188" t="str">
        <f>IFERROR(VLOOKUP(AD$9,#REF!,55,FALSE),"")</f>
        <v/>
      </c>
      <c r="AE42" s="188" t="str">
        <f>IFERROR(VLOOKUP(AE$9,#REF!,55,FALSE),"")</f>
        <v/>
      </c>
      <c r="AF42" s="188" t="str">
        <f>IFERROR(VLOOKUP(AF$9,#REF!,55,FALSE),"")</f>
        <v/>
      </c>
      <c r="AG42" s="193" t="e">
        <f>#REF!</f>
        <v>#REF!</v>
      </c>
      <c r="AH42" s="194"/>
    </row>
    <row r="43" spans="1:34" ht="11.1" customHeight="1">
      <c r="A43" s="207">
        <v>28</v>
      </c>
      <c r="B43" s="184" t="s">
        <v>24</v>
      </c>
      <c r="C43" s="209" t="s">
        <v>78</v>
      </c>
      <c r="D43" s="212" t="str">
        <f>IF(cnt_藤岡北部第１!$AT$5=0,"",IF(演算タグ!D43&lt;0.002,"0.002未満",演算タグ!D43))</f>
        <v/>
      </c>
      <c r="E43" s="212" t="str">
        <f>IF(cnt_西市野々!$AT$5=0,"",IF(演算タグ!F43&lt;0.002,"0.002未満",演算タグ!F43))</f>
        <v/>
      </c>
      <c r="F43" s="212" t="str">
        <f>IF(cnt_藤岡北部第２!$AT$5=0,"",IF(演算タグ!H43&lt;0.002,"0.002未満",演算タグ!H43))</f>
        <v/>
      </c>
      <c r="G43" s="212" t="str">
        <f>IF(cnt_石畳!$AT$5=0,"",IF(演算タグ!J43&lt;0.002,"0.002未満",演算タグ!J43))</f>
        <v/>
      </c>
      <c r="H43" s="212" t="str">
        <f>IF(cnt_木瀬浄水!$AT$5=0,"",IF(演算タグ!L43&lt;0.002,"0.002未満",演算タグ!L43))</f>
        <v/>
      </c>
      <c r="I43" s="212" t="str">
        <f>IF(cnt_木瀬児童!$AT$5=0,"",IF(演算タグ!N43&lt;0.002,"0.002未満",演算タグ!N43))</f>
        <v/>
      </c>
      <c r="J43" s="212" t="str">
        <f>IF(cnt_西中山送配水!$AT$5=0,"",IF(演算タグ!P43&lt;0.002,"0.002未満",演算タグ!P43))</f>
        <v/>
      </c>
      <c r="K43" s="212" t="str">
        <f>IF(cnt_西中山水質!$AT$5=0,"",IF(演算タグ!R43&lt;0.002,"0.002未満",演算タグ!R43))</f>
        <v/>
      </c>
      <c r="L43" s="212" t="str">
        <f>IF(cnt_上川口!$AT$5=0,"",IF(演算タグ!T43&lt;0.002,"0.002未満",演算タグ!T43))</f>
        <v/>
      </c>
      <c r="M43" s="212" t="str">
        <f>IF(cnt_折平!$AT$5=0,"",IF(演算タグ!V43&lt;0.002,"0.002未満",演算タグ!V43))</f>
        <v/>
      </c>
      <c r="N43" s="255"/>
      <c r="O43" s="212"/>
      <c r="P43" s="187" t="str">
        <f>IFERROR(VLOOKUP(P$9,#REF!,59,FALSE),"")</f>
        <v/>
      </c>
      <c r="Q43" s="188" t="str">
        <f>IFERROR(VLOOKUP(Q$9,#REF!,59,FALSE),"")</f>
        <v/>
      </c>
      <c r="R43" s="188" t="str">
        <f>IFERROR(VLOOKUP(R$9,#REF!,59,FALSE),"")</f>
        <v/>
      </c>
      <c r="S43" s="188" t="str">
        <f>IFERROR(VLOOKUP(S$9,#REF!,59,FALSE),"")</f>
        <v/>
      </c>
      <c r="T43" s="188" t="str">
        <f>IFERROR(VLOOKUP(T$9,#REF!,59,FALSE),"")</f>
        <v/>
      </c>
      <c r="U43" s="188" t="str">
        <f>IFERROR(VLOOKUP(U$9,#REF!,59,FALSE),"")</f>
        <v/>
      </c>
      <c r="V43" s="188" t="str">
        <f>IFERROR(VLOOKUP(V$9,#REF!,59,FALSE),"")</f>
        <v/>
      </c>
      <c r="W43" s="188" t="str">
        <f>IFERROR(VLOOKUP(W$9,#REF!,59,FALSE),"")</f>
        <v/>
      </c>
      <c r="X43" s="188" t="str">
        <f>IFERROR(VLOOKUP(X$9,#REF!,59,FALSE),"")</f>
        <v/>
      </c>
      <c r="Y43" s="188" t="str">
        <f>IFERROR(VLOOKUP(Y$9,#REF!,59,FALSE),"")</f>
        <v/>
      </c>
      <c r="Z43" s="188" t="str">
        <f>IFERROR(VLOOKUP(Z$9,#REF!,59,FALSE),"")</f>
        <v/>
      </c>
      <c r="AA43" s="188" t="str">
        <f>IFERROR(VLOOKUP(ACL$9,#REF!,59,FALSE),"")</f>
        <v/>
      </c>
      <c r="AB43" s="188" t="str">
        <f>IFERROR(VLOOKUP(AB$9,#REF!,59,FALSE),"")</f>
        <v/>
      </c>
      <c r="AC43" s="188" t="str">
        <f>IFERROR(VLOOKUP(AC$9,#REF!,59,FALSE),"")</f>
        <v/>
      </c>
      <c r="AD43" s="188" t="str">
        <f>IFERROR(VLOOKUP(AD$9,#REF!,59,FALSE),"")</f>
        <v/>
      </c>
      <c r="AE43" s="188" t="str">
        <f>IFERROR(VLOOKUP(AE$9,#REF!,59,FALSE),"")</f>
        <v/>
      </c>
      <c r="AF43" s="188" t="str">
        <f>IFERROR(VLOOKUP(AF$9,#REF!,59,FALSE),"")</f>
        <v/>
      </c>
      <c r="AG43" s="193" t="e">
        <f>#REF!</f>
        <v>#REF!</v>
      </c>
      <c r="AH43" s="194"/>
    </row>
    <row r="44" spans="1:34" ht="11.1" customHeight="1">
      <c r="A44" s="207">
        <v>29</v>
      </c>
      <c r="B44" s="184" t="s">
        <v>25</v>
      </c>
      <c r="C44" s="209" t="s">
        <v>78</v>
      </c>
      <c r="D44" s="212" t="str">
        <f>IF(cnt_藤岡北部第１!$AJ$5=0,"",IF(演算タグ!E44&lt;0.001,"0.001未満",演算タグ!E44))</f>
        <v/>
      </c>
      <c r="E44" s="212" t="str">
        <f>IF(cnt_西市野々!$AJ$5=0,"",IF(演算タグ!G44&lt;0.001,"0.001未満",演算タグ!G44))</f>
        <v/>
      </c>
      <c r="F44" s="212" t="str">
        <f>IF(cnt_藤岡北部第２!$AJ$5=0,"",IF(演算タグ!I44&lt;0.001,"0.001未満",演算タグ!I44))</f>
        <v/>
      </c>
      <c r="G44" s="212" t="str">
        <f>IF(cnt_石畳!$AJ$5=0,"",IF(演算タグ!K44&lt;0.001,"0.001未満",演算タグ!K44))</f>
        <v/>
      </c>
      <c r="H44" s="212" t="str">
        <f>IF(cnt_木瀬浄水!$AJ$5=0,"",IF(演算タグ!M44&lt;0.001,"0.001未満",演算タグ!M44))</f>
        <v/>
      </c>
      <c r="I44" s="212" t="str">
        <f>IF(cnt_木瀬児童!$AJ$5=0,"",IF(演算タグ!O44&lt;0.001,"0.001未満",演算タグ!O44))</f>
        <v/>
      </c>
      <c r="J44" s="212" t="str">
        <f>IF(cnt_西中山送配水!$AJ$5=0,"",IF(演算タグ!Q44&lt;0.001,"0.001未満",演算タグ!Q44))</f>
        <v/>
      </c>
      <c r="K44" s="212" t="str">
        <f>IF(cnt_西中山水質!$AJ$5=0,"",IF(演算タグ!S44&lt;0.001,"0.001未満",演算タグ!S44))</f>
        <v/>
      </c>
      <c r="L44" s="212" t="str">
        <f>IF(cnt_上川口!$AJ$5=0,"",IF(演算タグ!U44&lt;0.001,"0.001未満",演算タグ!U44))</f>
        <v/>
      </c>
      <c r="M44" s="212" t="str">
        <f>IF(cnt_折平!$AJ$5=0,"",IF(演算タグ!W44&lt;0.001,"0.001未満",演算タグ!W44))</f>
        <v/>
      </c>
      <c r="N44" s="255"/>
      <c r="O44" s="212"/>
      <c r="P44" s="187" t="str">
        <f>IFERROR(VLOOKUP(P$9,#REF!,53,FALSE),"")</f>
        <v/>
      </c>
      <c r="Q44" s="188" t="str">
        <f>IFERROR(VLOOKUP(Q$9,#REF!,53,FALSE),"")</f>
        <v/>
      </c>
      <c r="R44" s="188" t="str">
        <f>IFERROR(VLOOKUP(R$9,#REF!,53,FALSE),"")</f>
        <v/>
      </c>
      <c r="S44" s="188" t="str">
        <f>IFERROR(VLOOKUP(S$9,#REF!,53,FALSE),"")</f>
        <v/>
      </c>
      <c r="T44" s="188" t="str">
        <f>IFERROR(VLOOKUP(T$9,#REF!,53,FALSE),"")</f>
        <v/>
      </c>
      <c r="U44" s="188" t="str">
        <f>IFERROR(VLOOKUP(U$9,#REF!,53,FALSE),"")</f>
        <v/>
      </c>
      <c r="V44" s="188" t="str">
        <f>IFERROR(VLOOKUP(V$9,#REF!,53,FALSE),"")</f>
        <v/>
      </c>
      <c r="W44" s="188" t="str">
        <f>IFERROR(VLOOKUP(W$9,#REF!,53,FALSE),"")</f>
        <v/>
      </c>
      <c r="X44" s="188" t="str">
        <f>IFERROR(VLOOKUP(X$9,#REF!,53,FALSE),"")</f>
        <v/>
      </c>
      <c r="Y44" s="188" t="str">
        <f>IFERROR(VLOOKUP(Y$9,#REF!,53,FALSE),"")</f>
        <v/>
      </c>
      <c r="Z44" s="188" t="str">
        <f>IFERROR(VLOOKUP(Z$9,#REF!,53,FALSE),"")</f>
        <v/>
      </c>
      <c r="AA44" s="188" t="str">
        <f>IFERROR(VLOOKUP(ACL$9,#REF!,53,FALSE),"")</f>
        <v/>
      </c>
      <c r="AB44" s="188" t="str">
        <f>IFERROR(VLOOKUP(AB$9,#REF!,53,FALSE),"")</f>
        <v/>
      </c>
      <c r="AC44" s="188" t="str">
        <f>IFERROR(VLOOKUP(AC$9,#REF!,53,FALSE),"")</f>
        <v/>
      </c>
      <c r="AD44" s="188" t="str">
        <f>IFERROR(VLOOKUP(AD$9,#REF!,53,FALSE),"")</f>
        <v/>
      </c>
      <c r="AE44" s="188" t="str">
        <f>IFERROR(VLOOKUP(AE$9,#REF!,53,FALSE),"")</f>
        <v/>
      </c>
      <c r="AF44" s="188" t="str">
        <f>IFERROR(VLOOKUP(AF$9,#REF!,53,FALSE),"")</f>
        <v/>
      </c>
      <c r="AG44" s="193" t="e">
        <f>#REF!</f>
        <v>#REF!</v>
      </c>
      <c r="AH44" s="194"/>
    </row>
    <row r="45" spans="1:34" ht="11.1" customHeight="1">
      <c r="A45" s="207">
        <v>30</v>
      </c>
      <c r="B45" s="184" t="s">
        <v>26</v>
      </c>
      <c r="C45" s="209" t="s">
        <v>78</v>
      </c>
      <c r="D45" s="212" t="str">
        <f>IF(cnt_藤岡北部第１!$AK$5=0,"",IF(演算タグ!E45&lt;0.001,"0.001未満",演算タグ!E45))</f>
        <v/>
      </c>
      <c r="E45" s="212" t="str">
        <f>IF(cnt_西市野々!$AK$5=0,"",IF(演算タグ!G45&lt;0.001,"0.001未満",演算タグ!G45))</f>
        <v/>
      </c>
      <c r="F45" s="212" t="str">
        <f>IF(cnt_藤岡北部第２!$AK$5=0,"",IF(演算タグ!I45&lt;0.001,"0.001未満",演算タグ!I45))</f>
        <v/>
      </c>
      <c r="G45" s="212" t="str">
        <f>IF(cnt_石畳!$AK$5=0,"",IF(演算タグ!K45&lt;0.001,"0.001未満",演算タグ!K45))</f>
        <v/>
      </c>
      <c r="H45" s="212" t="str">
        <f>IF(cnt_木瀬浄水!$AK$5=0,"",IF(演算タグ!M45&lt;0.001,"0.001未満",演算タグ!M45))</f>
        <v/>
      </c>
      <c r="I45" s="212" t="str">
        <f>IF(cnt_木瀬児童!$AK$5=0,"",IF(演算タグ!O45&lt;0.001,"0.001未満",演算タグ!O45))</f>
        <v/>
      </c>
      <c r="J45" s="212" t="str">
        <f>IF(cnt_西中山送配水!$AK$5=0,"",IF(演算タグ!Q45&lt;0.001,"0.001未満",演算タグ!Q45))</f>
        <v/>
      </c>
      <c r="K45" s="212" t="str">
        <f>IF(cnt_西中山水質!$AK$5=0,"",IF(演算タグ!S45&lt;0.001,"0.001未満",演算タグ!S45))</f>
        <v/>
      </c>
      <c r="L45" s="212" t="str">
        <f>IF(cnt_上川口!$AK$5=0,"",IF(演算タグ!U45&lt;0.001,"0.001未満",演算タグ!U45))</f>
        <v/>
      </c>
      <c r="M45" s="212" t="str">
        <f>IF(cnt_折平!$AK$5=0,"",IF(演算タグ!W45&lt;0.001,"0.001未満",演算タグ!W45))</f>
        <v/>
      </c>
      <c r="N45" s="255"/>
      <c r="O45" s="212"/>
      <c r="P45" s="187" t="str">
        <f>IFERROR(VLOOKUP(P$9,#REF!,54,FALSE),"")</f>
        <v/>
      </c>
      <c r="Q45" s="188" t="str">
        <f>IFERROR(VLOOKUP(Q$9,#REF!,54,FALSE),"")</f>
        <v/>
      </c>
      <c r="R45" s="188" t="str">
        <f>IFERROR(VLOOKUP(R$9,#REF!,54,FALSE),"")</f>
        <v/>
      </c>
      <c r="S45" s="188" t="str">
        <f>IFERROR(VLOOKUP(S$9,#REF!,54,FALSE),"")</f>
        <v/>
      </c>
      <c r="T45" s="188" t="str">
        <f>IFERROR(VLOOKUP(T$9,#REF!,54,FALSE),"")</f>
        <v/>
      </c>
      <c r="U45" s="188" t="str">
        <f>IFERROR(VLOOKUP(U$9,#REF!,54,FALSE),"")</f>
        <v/>
      </c>
      <c r="V45" s="188" t="str">
        <f>IFERROR(VLOOKUP(V$9,#REF!,54,FALSE),"")</f>
        <v/>
      </c>
      <c r="W45" s="188" t="str">
        <f>IFERROR(VLOOKUP(W$9,#REF!,54,FALSE),"")</f>
        <v/>
      </c>
      <c r="X45" s="188" t="str">
        <f>IFERROR(VLOOKUP(X$9,#REF!,54,FALSE),"")</f>
        <v/>
      </c>
      <c r="Y45" s="188" t="str">
        <f>IFERROR(VLOOKUP(Y$9,#REF!,54,FALSE),"")</f>
        <v/>
      </c>
      <c r="Z45" s="188" t="str">
        <f>IFERROR(VLOOKUP(Z$9,#REF!,54,FALSE),"")</f>
        <v/>
      </c>
      <c r="AA45" s="188" t="str">
        <f>IFERROR(VLOOKUP(ACL$9,#REF!,54,FALSE),"")</f>
        <v/>
      </c>
      <c r="AB45" s="188" t="str">
        <f>IFERROR(VLOOKUP(AB$9,#REF!,54,FALSE),"")</f>
        <v/>
      </c>
      <c r="AC45" s="188" t="str">
        <f>IFERROR(VLOOKUP(AC$9,#REF!,54,FALSE),"")</f>
        <v/>
      </c>
      <c r="AD45" s="188" t="str">
        <f>IFERROR(VLOOKUP(AD$9,#REF!,54,FALSE),"")</f>
        <v/>
      </c>
      <c r="AE45" s="188" t="str">
        <f>IFERROR(VLOOKUP(AE$9,#REF!,54,FALSE),"")</f>
        <v/>
      </c>
      <c r="AF45" s="188" t="str">
        <f>IFERROR(VLOOKUP(AF$9,#REF!,54,FALSE),"")</f>
        <v/>
      </c>
      <c r="AG45" s="193" t="e">
        <f>#REF!</f>
        <v>#REF!</v>
      </c>
      <c r="AH45" s="194"/>
    </row>
    <row r="46" spans="1:34" ht="11.1" customHeight="1">
      <c r="A46" s="207">
        <v>31</v>
      </c>
      <c r="B46" s="184" t="s">
        <v>27</v>
      </c>
      <c r="C46" s="209" t="s">
        <v>78</v>
      </c>
      <c r="D46" s="212" t="str">
        <f>IF(cnt_藤岡北部第１!$AV$5=0,"",IF(演算タグ!D46&lt;0.008,"0.008未満",演算タグ!D46))</f>
        <v/>
      </c>
      <c r="E46" s="212" t="str">
        <f>IF(cnt_西市野々!$AV$5=0,"",IF(演算タグ!F46&lt;0.008,"0.008未満",演算タグ!F46))</f>
        <v/>
      </c>
      <c r="F46" s="212" t="str">
        <f>IF(cnt_藤岡北部第２!$AV$5=0,"",IF(演算タグ!H46&lt;0.008,"0.008未満",演算タグ!H46))</f>
        <v/>
      </c>
      <c r="G46" s="212" t="str">
        <f>IF(cnt_石畳!$AV$5=0,"",IF(演算タグ!J46&lt;0.008,"0.008未満",演算タグ!J46))</f>
        <v/>
      </c>
      <c r="H46" s="212" t="str">
        <f>IF(cnt_木瀬浄水!$AV$5=0,"",IF(演算タグ!L46&lt;0.008,"0.008未満",演算タグ!L46))</f>
        <v/>
      </c>
      <c r="I46" s="212" t="str">
        <f>IF(cnt_木瀬児童!$AV$5=0,"",IF(演算タグ!N46&lt;0.008,"0.008未満",演算タグ!N46))</f>
        <v/>
      </c>
      <c r="J46" s="212" t="str">
        <f>IF(cnt_西中山送配水!$AV$5=0,"",IF(演算タグ!P46&lt;0.008,"0.008未満",演算タグ!P46))</f>
        <v/>
      </c>
      <c r="K46" s="212" t="str">
        <f>IF(cnt_西中山水質!$AV$5=0,"",IF(演算タグ!R46&lt;0.008,"0.008未満",演算タグ!R46))</f>
        <v/>
      </c>
      <c r="L46" s="212" t="str">
        <f>IF(cnt_上川口!$AV$5=0,"",IF(演算タグ!T46&lt;0.008,"0.008未満",演算タグ!T46))</f>
        <v/>
      </c>
      <c r="M46" s="212" t="str">
        <f>IF(cnt_折平!$AV$5=0,"",IF(演算タグ!V46&lt;0.008,"0.008未満",演算タグ!V46))</f>
        <v/>
      </c>
      <c r="N46" s="255"/>
      <c r="O46" s="212"/>
      <c r="P46" s="187" t="str">
        <f>IFERROR(VLOOKUP(P$9,#REF!,65,FALSE),"")</f>
        <v/>
      </c>
      <c r="Q46" s="188" t="str">
        <f>IFERROR(VLOOKUP(Q$9,#REF!,65,FALSE),"")</f>
        <v/>
      </c>
      <c r="R46" s="188" t="str">
        <f>IFERROR(VLOOKUP(R$9,#REF!,65,FALSE),"")</f>
        <v/>
      </c>
      <c r="S46" s="188" t="str">
        <f>IFERROR(VLOOKUP(S$9,#REF!,65,FALSE),"")</f>
        <v/>
      </c>
      <c r="T46" s="188" t="str">
        <f>IFERROR(VLOOKUP(T$9,#REF!,65,FALSE),"")</f>
        <v/>
      </c>
      <c r="U46" s="188" t="str">
        <f>IFERROR(VLOOKUP(U$9,#REF!,65,FALSE),"")</f>
        <v/>
      </c>
      <c r="V46" s="188" t="str">
        <f>IFERROR(VLOOKUP(V$9,#REF!,65,FALSE),"")</f>
        <v/>
      </c>
      <c r="W46" s="188" t="str">
        <f>IFERROR(VLOOKUP(W$9,#REF!,65,FALSE),"")</f>
        <v/>
      </c>
      <c r="X46" s="188" t="str">
        <f>IFERROR(VLOOKUP(X$9,#REF!,65,FALSE),"")</f>
        <v/>
      </c>
      <c r="Y46" s="188" t="str">
        <f>IFERROR(VLOOKUP(Y$9,#REF!,65,FALSE),"")</f>
        <v/>
      </c>
      <c r="Z46" s="188" t="str">
        <f>IFERROR(VLOOKUP(Z$9,#REF!,65,FALSE),"")</f>
        <v/>
      </c>
      <c r="AA46" s="188" t="str">
        <f>IFERROR(VLOOKUP(ACL$9,#REF!,65,FALSE),"")</f>
        <v/>
      </c>
      <c r="AB46" s="188" t="str">
        <f>IFERROR(VLOOKUP(AB$9,#REF!,65,FALSE),"")</f>
        <v/>
      </c>
      <c r="AC46" s="188" t="str">
        <f>IFERROR(VLOOKUP(AC$9,#REF!,65,FALSE),"")</f>
        <v/>
      </c>
      <c r="AD46" s="188" t="str">
        <f>IFERROR(VLOOKUP(AD$9,#REF!,65,FALSE),"")</f>
        <v/>
      </c>
      <c r="AE46" s="188" t="str">
        <f>IFERROR(VLOOKUP(AE$9,#REF!,65,FALSE),"")</f>
        <v/>
      </c>
      <c r="AF46" s="188" t="str">
        <f>IFERROR(VLOOKUP(AF$9,#REF!,65,FALSE),"")</f>
        <v/>
      </c>
      <c r="AG46" s="193" t="e">
        <f>#REF!</f>
        <v>#REF!</v>
      </c>
      <c r="AH46" s="194"/>
    </row>
    <row r="47" spans="1:34" ht="11.1" customHeight="1">
      <c r="A47" s="207">
        <v>32</v>
      </c>
      <c r="B47" s="184" t="s">
        <v>28</v>
      </c>
      <c r="C47" s="209" t="s">
        <v>78</v>
      </c>
      <c r="D47" s="212" t="str">
        <f>IF(cnt_藤岡北部第１!$J$5=0,"",IF(演算タグ!E47&lt;0.002,"0.002未満",演算タグ!E47))</f>
        <v/>
      </c>
      <c r="E47" s="212" t="str">
        <f>IF(cnt_西市野々!$J$5=0,"",IF(演算タグ!G47&lt;0.002,"0.002未満",演算タグ!G47))</f>
        <v/>
      </c>
      <c r="F47" s="212" t="str">
        <f>IF(cnt_藤岡北部第２!$J$5=0,"",IF(演算タグ!I47&lt;0.002,"0.002未満",演算タグ!I47))</f>
        <v/>
      </c>
      <c r="G47" s="212" t="str">
        <f>IF(cnt_石畳!$J$5=0,"",IF(演算タグ!K47&lt;0.002,"0.002未満",演算タグ!K47))</f>
        <v/>
      </c>
      <c r="H47" s="212" t="str">
        <f>IF(cnt_木瀬浄水!$J$5=0,"",IF(演算タグ!M47&lt;0.002,"0.002未満",演算タグ!M47))</f>
        <v/>
      </c>
      <c r="I47" s="212" t="str">
        <f>IF(cnt_木瀬児童!$J$5=0,"",IF(演算タグ!O47&lt;0.002,"0.002未満",演算タグ!O47))</f>
        <v/>
      </c>
      <c r="J47" s="212" t="str">
        <f>IF(cnt_西中山送配水!$J$5=0,"",IF(演算タグ!Q47&lt;0.002,"0.002未満",演算タグ!Q47))</f>
        <v/>
      </c>
      <c r="K47" s="212" t="str">
        <f>IF(cnt_西中山水質!$J$5=0,"",IF(演算タグ!S47&lt;0.002,"0.002未満",演算タグ!S47))</f>
        <v/>
      </c>
      <c r="L47" s="212" t="str">
        <f>IF(cnt_上川口!$J$5=0,"",IF(演算タグ!U47&lt;0.002,"0.002未満",演算タグ!U47))</f>
        <v/>
      </c>
      <c r="M47" s="212" t="str">
        <f>IF(cnt_折平!$J$5=0,"",IF(演算タグ!W47&lt;0.002,"0.002未満",演算タグ!W47))</f>
        <v/>
      </c>
      <c r="N47" s="255"/>
      <c r="O47" s="212"/>
      <c r="P47" s="187" t="str">
        <f>IFERROR(VLOOKUP(P$9,#REF!,18,FALSE),"")</f>
        <v/>
      </c>
      <c r="Q47" s="188" t="str">
        <f>IFERROR(VLOOKUP(Q$9,#REF!,18,FALSE),"")</f>
        <v/>
      </c>
      <c r="R47" s="188" t="str">
        <f>IFERROR(VLOOKUP(R$9,#REF!,18,FALSE),"")</f>
        <v/>
      </c>
      <c r="S47" s="188" t="str">
        <f>IFERROR(VLOOKUP(S$9,#REF!,18,FALSE),"")</f>
        <v/>
      </c>
      <c r="T47" s="188" t="str">
        <f>IFERROR(VLOOKUP(T$9,#REF!,18,FALSE),"")</f>
        <v/>
      </c>
      <c r="U47" s="188" t="str">
        <f>IFERROR(VLOOKUP(U$9,#REF!,18,FALSE),"")</f>
        <v/>
      </c>
      <c r="V47" s="188" t="str">
        <f>IFERROR(VLOOKUP(V$9,#REF!,18,FALSE),"")</f>
        <v/>
      </c>
      <c r="W47" s="188" t="str">
        <f>IFERROR(VLOOKUP(W$9,#REF!,18,FALSE),"")</f>
        <v/>
      </c>
      <c r="X47" s="188" t="str">
        <f>IFERROR(VLOOKUP(X$9,#REF!,18,FALSE),"")</f>
        <v/>
      </c>
      <c r="Y47" s="188" t="str">
        <f>IFERROR(VLOOKUP(Y$9,#REF!,18,FALSE),"")</f>
        <v/>
      </c>
      <c r="Z47" s="188" t="str">
        <f>IFERROR(VLOOKUP(Z$9,#REF!,18,FALSE),"")</f>
        <v/>
      </c>
      <c r="AA47" s="188" t="str">
        <f>IFERROR(VLOOKUP(ACL$9,#REF!,18,FALSE),"")</f>
        <v/>
      </c>
      <c r="AB47" s="188" t="str">
        <f>IFERROR(VLOOKUP(AB$9,#REF!,18,FALSE),"")</f>
        <v/>
      </c>
      <c r="AC47" s="188" t="str">
        <f>IFERROR(VLOOKUP(AC$9,#REF!,18,FALSE),"")</f>
        <v/>
      </c>
      <c r="AD47" s="188" t="str">
        <f>IFERROR(VLOOKUP(AD$9,#REF!,18,FALSE),"")</f>
        <v/>
      </c>
      <c r="AE47" s="188" t="str">
        <f>IFERROR(VLOOKUP(AE$9,#REF!,18,FALSE),"")</f>
        <v/>
      </c>
      <c r="AF47" s="188" t="str">
        <f>IFERROR(VLOOKUP(AF$9,#REF!,18,FALSE),"")</f>
        <v/>
      </c>
      <c r="AG47" s="193" t="e">
        <f>#REF!</f>
        <v>#REF!</v>
      </c>
      <c r="AH47" s="194"/>
    </row>
    <row r="48" spans="1:34" ht="11.1" customHeight="1">
      <c r="A48" s="207">
        <v>33</v>
      </c>
      <c r="B48" s="184" t="s">
        <v>29</v>
      </c>
      <c r="C48" s="209" t="s">
        <v>78</v>
      </c>
      <c r="D48" s="213" t="str">
        <f>IF(cnt_藤岡北部第１!$K$5=0,"",IF(演算タグ!E48&lt;0.01,"0.01未満",演算タグ!E48))</f>
        <v/>
      </c>
      <c r="E48" s="213" t="str">
        <f>IF(cnt_西市野々!$K$5=0,"",IF(演算タグ!G48&lt;0.01,"0.01未満",演算タグ!G48))</f>
        <v/>
      </c>
      <c r="F48" s="213" t="str">
        <f>IF(cnt_藤岡北部第２!$K$5=0,"",IF(演算タグ!I48&lt;0.01,"0.01未満",演算タグ!I48))</f>
        <v/>
      </c>
      <c r="G48" s="213" t="str">
        <f>IF(cnt_石畳!$K$5=0,"",IF(演算タグ!K48&lt;0.01,"0.01未満",演算タグ!K48))</f>
        <v/>
      </c>
      <c r="H48" s="213" t="str">
        <f>IF(cnt_木瀬浄水!$K$5=0,"",IF(演算タグ!M48&lt;0.01,"0.01未満",演算タグ!M48))</f>
        <v/>
      </c>
      <c r="I48" s="213" t="str">
        <f>IF(cnt_木瀬児童!$K$5=0,"",IF(演算タグ!O48&lt;0.01,"0.01未満",演算タグ!O48))</f>
        <v/>
      </c>
      <c r="J48" s="213" t="str">
        <f>IF(cnt_西中山送配水!$K$5=0,"",IF(演算タグ!Q48&lt;0.01,"0.01未満",演算タグ!Q48))</f>
        <v/>
      </c>
      <c r="K48" s="213" t="str">
        <f>IF(cnt_西中山水質!$K$5=0,"",IF(演算タグ!S48&lt;0.01,"0.01未満",演算タグ!S48))</f>
        <v/>
      </c>
      <c r="L48" s="213" t="str">
        <f>IF(cnt_上川口!$K$5=0,"",IF(演算タグ!U48&lt;0.01,"0.01未満",演算タグ!U48))</f>
        <v/>
      </c>
      <c r="M48" s="213" t="str">
        <f>IF(cnt_折平!$K$5=0,"",IF(演算タグ!W48&lt;0.01,"0.01未満",演算タグ!W48))</f>
        <v/>
      </c>
      <c r="N48" s="256"/>
      <c r="O48" s="213"/>
      <c r="P48" s="187" t="str">
        <f>IFERROR(VLOOKUP(P$9,#REF!,19,FALSE),"")</f>
        <v/>
      </c>
      <c r="Q48" s="188" t="str">
        <f>IFERROR(VLOOKUP(Q$9,#REF!,19,FALSE),"")</f>
        <v/>
      </c>
      <c r="R48" s="188" t="str">
        <f>IFERROR(VLOOKUP(R$9,#REF!,19,FALSE),"")</f>
        <v/>
      </c>
      <c r="S48" s="188" t="str">
        <f>IFERROR(VLOOKUP(S$9,#REF!,19,FALSE),"")</f>
        <v/>
      </c>
      <c r="T48" s="188" t="str">
        <f>IFERROR(VLOOKUP(T$9,#REF!,19,FALSE),"")</f>
        <v/>
      </c>
      <c r="U48" s="188" t="str">
        <f>IFERROR(VLOOKUP(U$9,#REF!,19,FALSE),"")</f>
        <v/>
      </c>
      <c r="V48" s="188" t="str">
        <f>IFERROR(VLOOKUP(V$9,#REF!,19,FALSE),"")</f>
        <v/>
      </c>
      <c r="W48" s="188" t="str">
        <f>IFERROR(VLOOKUP(W$9,#REF!,19,FALSE),"")</f>
        <v/>
      </c>
      <c r="X48" s="188" t="str">
        <f>IFERROR(VLOOKUP(X$9,#REF!,19,FALSE),"")</f>
        <v/>
      </c>
      <c r="Y48" s="188" t="str">
        <f>IFERROR(VLOOKUP(Y$9,#REF!,19,FALSE),"")</f>
        <v/>
      </c>
      <c r="Z48" s="188" t="str">
        <f>IFERROR(VLOOKUP(Z$9,#REF!,19,FALSE),"")</f>
        <v/>
      </c>
      <c r="AA48" s="188" t="str">
        <f>IFERROR(VLOOKUP(ACL$9,#REF!,19,FALSE),"")</f>
        <v/>
      </c>
      <c r="AB48" s="188" t="str">
        <f>IFERROR(VLOOKUP(AB$9,#REF!,19,FALSE),"")</f>
        <v/>
      </c>
      <c r="AC48" s="188" t="str">
        <f>IFERROR(VLOOKUP(AC$9,#REF!,19,FALSE),"")</f>
        <v/>
      </c>
      <c r="AD48" s="188" t="str">
        <f>IFERROR(VLOOKUP(AD$9,#REF!,19,FALSE),"")</f>
        <v/>
      </c>
      <c r="AE48" s="188" t="str">
        <f>IFERROR(VLOOKUP(AE$9,#REF!,19,FALSE),"")</f>
        <v/>
      </c>
      <c r="AF48" s="188" t="str">
        <f>IFERROR(VLOOKUP(AF$9,#REF!,19,FALSE),"")</f>
        <v/>
      </c>
      <c r="AG48" s="193" t="e">
        <f>#REF!</f>
        <v>#REF!</v>
      </c>
      <c r="AH48" s="194"/>
    </row>
    <row r="49" spans="1:34" ht="11.1" customHeight="1">
      <c r="A49" s="207">
        <v>34</v>
      </c>
      <c r="B49" s="184" t="s">
        <v>30</v>
      </c>
      <c r="C49" s="209" t="s">
        <v>78</v>
      </c>
      <c r="D49" s="213" t="str">
        <f>IF(cnt_藤岡北部第１!$L$5=0,"",IF(演算タグ!E49&lt;0.03,"0.03未満",演算タグ!E49))</f>
        <v/>
      </c>
      <c r="E49" s="213" t="str">
        <f>IF(cnt_西市野々!$L$5=0,"",IF(演算タグ!G49&lt;0.03,"0.03未満",演算タグ!G49))</f>
        <v/>
      </c>
      <c r="F49" s="213" t="str">
        <f>IF(cnt_藤岡北部第２!$L$5=0,"",IF(演算タグ!I49&lt;0.03,"0.03未満",演算タグ!I49))</f>
        <v/>
      </c>
      <c r="G49" s="213" t="str">
        <f>IF(cnt_石畳!$L$5=0,"",IF(演算タグ!K49&lt;0.03,"0.03未満",演算タグ!K49))</f>
        <v/>
      </c>
      <c r="H49" s="213" t="str">
        <f>IF(cnt_木瀬浄水!$L$5=0,"",IF(演算タグ!M49&lt;0.03,"0.03未満",演算タグ!M49))</f>
        <v/>
      </c>
      <c r="I49" s="213" t="str">
        <f>IF(cnt_木瀬児童!$L$5=0,"",IF(演算タグ!O49&lt;0.03,"0.03未満",演算タグ!O49))</f>
        <v/>
      </c>
      <c r="J49" s="213" t="str">
        <f>IF(cnt_西中山送配水!$L$5=0,"",IF(演算タグ!Q49&lt;0.03,"0.03未満",演算タグ!Q49))</f>
        <v/>
      </c>
      <c r="K49" s="213" t="str">
        <f>IF(cnt_西中山水質!$L$5=0,"",IF(演算タグ!S49&lt;0.03,"0.03未満",演算タグ!S49))</f>
        <v/>
      </c>
      <c r="L49" s="213" t="str">
        <f>IF(cnt_上川口!$L$5=0,"",IF(演算タグ!U49&lt;0.03,"0.03未満",演算タグ!U49))</f>
        <v/>
      </c>
      <c r="M49" s="213" t="str">
        <f>IF(cnt_折平!$L$5=0,"",IF(演算タグ!W49&lt;0.03,"0.03未満",演算タグ!W49))</f>
        <v/>
      </c>
      <c r="N49" s="256"/>
      <c r="O49" s="213"/>
      <c r="P49" s="187" t="str">
        <f>IFERROR(VLOOKUP(P$9,#REF!,20,FALSE),"")</f>
        <v/>
      </c>
      <c r="Q49" s="188" t="str">
        <f>IFERROR(VLOOKUP(Q$9,#REF!,20,FALSE),"")</f>
        <v/>
      </c>
      <c r="R49" s="188" t="str">
        <f>IFERROR(VLOOKUP(R$9,#REF!,20,FALSE),"")</f>
        <v/>
      </c>
      <c r="S49" s="188" t="str">
        <f>IFERROR(VLOOKUP(S$9,#REF!,20,FALSE),"")</f>
        <v/>
      </c>
      <c r="T49" s="188" t="str">
        <f>IFERROR(VLOOKUP(T$9,#REF!,20,FALSE),"")</f>
        <v/>
      </c>
      <c r="U49" s="188" t="str">
        <f>IFERROR(VLOOKUP(U$9,#REF!,20,FALSE),"")</f>
        <v/>
      </c>
      <c r="V49" s="188" t="str">
        <f>IFERROR(VLOOKUP(V$9,#REF!,20,FALSE),"")</f>
        <v/>
      </c>
      <c r="W49" s="188" t="str">
        <f>IFERROR(VLOOKUP(W$9,#REF!,20,FALSE),"")</f>
        <v/>
      </c>
      <c r="X49" s="188" t="str">
        <f>IFERROR(VLOOKUP(X$9,#REF!,20,FALSE),"")</f>
        <v/>
      </c>
      <c r="Y49" s="188" t="str">
        <f>IFERROR(VLOOKUP(Y$9,#REF!,20,FALSE),"")</f>
        <v/>
      </c>
      <c r="Z49" s="188" t="str">
        <f>IFERROR(VLOOKUP(Z$9,#REF!,20,FALSE),"")</f>
        <v/>
      </c>
      <c r="AA49" s="188" t="str">
        <f>IFERROR(VLOOKUP(ACL$9,#REF!,20,FALSE),"")</f>
        <v/>
      </c>
      <c r="AB49" s="188" t="str">
        <f>IFERROR(VLOOKUP(AB$9,#REF!,20,FALSE),"")</f>
        <v/>
      </c>
      <c r="AC49" s="188" t="str">
        <f>IFERROR(VLOOKUP(AC$9,#REF!,20,FALSE),"")</f>
        <v/>
      </c>
      <c r="AD49" s="188" t="str">
        <f>IFERROR(VLOOKUP(AD$9,#REF!,20,FALSE),"")</f>
        <v/>
      </c>
      <c r="AE49" s="188" t="str">
        <f>IFERROR(VLOOKUP(AE$9,#REF!,20,FALSE),"")</f>
        <v/>
      </c>
      <c r="AF49" s="188" t="str">
        <f>IFERROR(VLOOKUP(AF$9,#REF!,20,FALSE),"")</f>
        <v/>
      </c>
      <c r="AG49" s="193" t="e">
        <f>#REF!</f>
        <v>#REF!</v>
      </c>
      <c r="AH49" s="194"/>
    </row>
    <row r="50" spans="1:34" ht="11.1" customHeight="1">
      <c r="A50" s="207">
        <v>35</v>
      </c>
      <c r="B50" s="184" t="s">
        <v>31</v>
      </c>
      <c r="C50" s="209" t="s">
        <v>78</v>
      </c>
      <c r="D50" s="212" t="str">
        <f>IF(cnt_藤岡北部第１!$M$5=0,"",IF(演算タグ!E50&lt;0.002,"0.002未満",演算タグ!E50))</f>
        <v/>
      </c>
      <c r="E50" s="212" t="str">
        <f>IF(cnt_西市野々!$M$5=0,"",IF(演算タグ!G50&lt;0.002,"0.002未満",演算タグ!G50))</f>
        <v/>
      </c>
      <c r="F50" s="212" t="str">
        <f>IF(cnt_藤岡北部第２!$M$5=0,"",IF(演算タグ!I50&lt;0.002,"0.002未満",演算タグ!I50))</f>
        <v/>
      </c>
      <c r="G50" s="212" t="str">
        <f>IF(cnt_石畳!$M$5=0,"",IF(演算タグ!K50&lt;0.002,"0.002未満",演算タグ!K50))</f>
        <v/>
      </c>
      <c r="H50" s="212" t="str">
        <f>IF(cnt_木瀬浄水!$M$5=0,"",IF(演算タグ!M50&lt;0.002,"0.002未満",演算タグ!M50))</f>
        <v/>
      </c>
      <c r="I50" s="212" t="str">
        <f>IF(cnt_木瀬児童!$M$5=0,"",IF(演算タグ!O50&lt;0.002,"0.002未満",演算タグ!O50))</f>
        <v/>
      </c>
      <c r="J50" s="212" t="str">
        <f>IF(cnt_西中山送配水!$M$5=0,"",IF(演算タグ!Q50&lt;0.002,"0.002未満",演算タグ!Q50))</f>
        <v/>
      </c>
      <c r="K50" s="212" t="str">
        <f>IF(cnt_西中山水質!$M$5=0,"",IF(演算タグ!S50&lt;0.002,"0.002未満",演算タグ!S50))</f>
        <v/>
      </c>
      <c r="L50" s="212" t="str">
        <f>IF(cnt_上川口!$M$5=0,"",IF(演算タグ!U50&lt;0.002,"0.002未満",演算タグ!U50))</f>
        <v/>
      </c>
      <c r="M50" s="212" t="str">
        <f>IF(cnt_折平!$M$5=0,"",IF(演算タグ!W50&lt;0.002,"0.002未満",演算タグ!W50))</f>
        <v/>
      </c>
      <c r="N50" s="255"/>
      <c r="O50" s="212"/>
      <c r="P50" s="187" t="str">
        <f>IFERROR(VLOOKUP(P$9,#REF!,21,FALSE),"")</f>
        <v/>
      </c>
      <c r="Q50" s="188" t="str">
        <f>IFERROR(VLOOKUP(Q$9,#REF!,21,FALSE),"")</f>
        <v/>
      </c>
      <c r="R50" s="188" t="str">
        <f>IFERROR(VLOOKUP(R$9,#REF!,21,FALSE),"")</f>
        <v/>
      </c>
      <c r="S50" s="188" t="str">
        <f>IFERROR(VLOOKUP(S$9,#REF!,21,FALSE),"")</f>
        <v/>
      </c>
      <c r="T50" s="188" t="str">
        <f>IFERROR(VLOOKUP(T$9,#REF!,21,FALSE),"")</f>
        <v/>
      </c>
      <c r="U50" s="188" t="str">
        <f>IFERROR(VLOOKUP(U$9,#REF!,21,FALSE),"")</f>
        <v/>
      </c>
      <c r="V50" s="188" t="str">
        <f>IFERROR(VLOOKUP(V$9,#REF!,21,FALSE),"")</f>
        <v/>
      </c>
      <c r="W50" s="188" t="str">
        <f>IFERROR(VLOOKUP(W$9,#REF!,21,FALSE),"")</f>
        <v/>
      </c>
      <c r="X50" s="188" t="str">
        <f>IFERROR(VLOOKUP(X$9,#REF!,21,FALSE),"")</f>
        <v/>
      </c>
      <c r="Y50" s="188" t="str">
        <f>IFERROR(VLOOKUP(Y$9,#REF!,21,FALSE),"")</f>
        <v/>
      </c>
      <c r="Z50" s="188" t="str">
        <f>IFERROR(VLOOKUP(Z$9,#REF!,21,FALSE),"")</f>
        <v/>
      </c>
      <c r="AA50" s="188" t="str">
        <f>IFERROR(VLOOKUP(ACL$9,#REF!,21,FALSE),"")</f>
        <v/>
      </c>
      <c r="AB50" s="188" t="str">
        <f>IFERROR(VLOOKUP(AB$9,#REF!,21,FALSE),"")</f>
        <v/>
      </c>
      <c r="AC50" s="188" t="str">
        <f>IFERROR(VLOOKUP(AC$9,#REF!,21,FALSE),"")</f>
        <v/>
      </c>
      <c r="AD50" s="188" t="str">
        <f>IFERROR(VLOOKUP(AD$9,#REF!,21,FALSE),"")</f>
        <v/>
      </c>
      <c r="AE50" s="188" t="str">
        <f>IFERROR(VLOOKUP(AE$9,#REF!,21,FALSE),"")</f>
        <v/>
      </c>
      <c r="AF50" s="188" t="str">
        <f>IFERROR(VLOOKUP(AF$9,#REF!,21,FALSE),"")</f>
        <v/>
      </c>
      <c r="AG50" s="193" t="e">
        <f>#REF!</f>
        <v>#REF!</v>
      </c>
      <c r="AH50" s="194"/>
    </row>
    <row r="51" spans="1:34" ht="11.1" customHeight="1">
      <c r="A51" s="207">
        <v>36</v>
      </c>
      <c r="B51" s="184" t="s">
        <v>32</v>
      </c>
      <c r="C51" s="209" t="s">
        <v>78</v>
      </c>
      <c r="D51" s="191" t="str">
        <f>IF(cnt_藤岡北部第１!$Y$5=0,"",演算タグ!D51)</f>
        <v/>
      </c>
      <c r="E51" s="191" t="str">
        <f>IF(cnt_西市野々!$Y$5=0,"",演算タグ!F51)</f>
        <v/>
      </c>
      <c r="F51" s="191" t="str">
        <f>IF(cnt_藤岡北部第２!$Y$5=0,"",演算タグ!H51)</f>
        <v/>
      </c>
      <c r="G51" s="191" t="str">
        <f>IF(cnt_石畳!$Y$5=0,"",演算タグ!J51)</f>
        <v/>
      </c>
      <c r="H51" s="191" t="str">
        <f>IF(cnt_木瀬浄水!$Y$5=0,"",演算タグ!L51)</f>
        <v/>
      </c>
      <c r="I51" s="191" t="str">
        <f>IF(cnt_木瀬児童!$Y$5=0,"",演算タグ!N51)</f>
        <v/>
      </c>
      <c r="J51" s="191" t="str">
        <f>IF(cnt_西中山送配水!$Y$5=0,"",演算タグ!P51)</f>
        <v/>
      </c>
      <c r="K51" s="191" t="str">
        <f>IF(cnt_西中山水質!$Y$5=0,"",演算タグ!R51)</f>
        <v/>
      </c>
      <c r="L51" s="191" t="str">
        <f>IF(cnt_上川口!$Y$5=0,"",演算タグ!T51)</f>
        <v/>
      </c>
      <c r="M51" s="191" t="str">
        <f>IF(cnt_折平!$Y$5=0,"",演算タグ!V51)</f>
        <v/>
      </c>
      <c r="N51" s="190"/>
      <c r="O51" s="191"/>
      <c r="P51" s="187" t="str">
        <f>IFERROR(VLOOKUP(P$9,#REF!,37,FALSE),"")</f>
        <v/>
      </c>
      <c r="Q51" s="188" t="str">
        <f>IFERROR(VLOOKUP(Q$9,#REF!,37,FALSE),"")</f>
        <v/>
      </c>
      <c r="R51" s="188" t="str">
        <f>IFERROR(VLOOKUP(R$9,#REF!,37,FALSE),"")</f>
        <v/>
      </c>
      <c r="S51" s="188" t="str">
        <f>IFERROR(VLOOKUP(S$9,#REF!,37,FALSE),"")</f>
        <v/>
      </c>
      <c r="T51" s="188" t="str">
        <f>IFERROR(VLOOKUP(T$9,#REF!,37,FALSE),"")</f>
        <v/>
      </c>
      <c r="U51" s="188" t="str">
        <f>IFERROR(VLOOKUP(U$9,#REF!,37,FALSE),"")</f>
        <v/>
      </c>
      <c r="V51" s="188" t="str">
        <f>IFERROR(VLOOKUP(V$9,#REF!,37,FALSE),"")</f>
        <v/>
      </c>
      <c r="W51" s="188" t="str">
        <f>IFERROR(VLOOKUP(W$9,#REF!,37,FALSE),"")</f>
        <v/>
      </c>
      <c r="X51" s="188" t="str">
        <f>IFERROR(VLOOKUP(X$9,#REF!,37,FALSE),"")</f>
        <v/>
      </c>
      <c r="Y51" s="188" t="str">
        <f>IFERROR(VLOOKUP(Y$9,#REF!,37,FALSE),"")</f>
        <v/>
      </c>
      <c r="Z51" s="188" t="str">
        <f>IFERROR(VLOOKUP(Z$9,#REF!,37,FALSE),"")</f>
        <v/>
      </c>
      <c r="AA51" s="188" t="str">
        <f>IFERROR(VLOOKUP(ACL$9,#REF!,37,FALSE),"")</f>
        <v/>
      </c>
      <c r="AB51" s="188" t="str">
        <f>IFERROR(VLOOKUP(AB$9,#REF!,37,FALSE),"")</f>
        <v/>
      </c>
      <c r="AC51" s="188" t="str">
        <f>IFERROR(VLOOKUP(AC$9,#REF!,37,FALSE),"")</f>
        <v/>
      </c>
      <c r="AD51" s="188" t="str">
        <f>IFERROR(VLOOKUP(AD$9,#REF!,37,FALSE),"")</f>
        <v/>
      </c>
      <c r="AE51" s="188" t="str">
        <f>IFERROR(VLOOKUP(AE$9,#REF!,37,FALSE),"")</f>
        <v/>
      </c>
      <c r="AF51" s="188" t="str">
        <f>IFERROR(VLOOKUP(AF$9,#REF!,37,FALSE),"")</f>
        <v/>
      </c>
      <c r="AG51" s="193" t="e">
        <f>#REF!</f>
        <v>#REF!</v>
      </c>
      <c r="AH51" s="194"/>
    </row>
    <row r="52" spans="1:34" ht="11.1" customHeight="1">
      <c r="A52" s="207">
        <v>37</v>
      </c>
      <c r="B52" s="184" t="s">
        <v>34</v>
      </c>
      <c r="C52" s="209" t="s">
        <v>78</v>
      </c>
      <c r="D52" s="212" t="str">
        <f>IF(cnt_藤岡北部第１!$N$5=0,"",IF(演算タグ!E52&lt;0.001,"0.001未満",演算タグ!E52))</f>
        <v/>
      </c>
      <c r="E52" s="212" t="str">
        <f>IF(cnt_西市野々!$N$5=0,"",IF(演算タグ!G52&lt;0.001,"0.001未満",演算タグ!G52))</f>
        <v/>
      </c>
      <c r="F52" s="212" t="str">
        <f>IF(cnt_藤岡北部第２!$N$5=0,"",IF(演算タグ!I52&lt;0.001,"0.001未満",演算タグ!I52))</f>
        <v/>
      </c>
      <c r="G52" s="212" t="str">
        <f>IF(cnt_石畳!$N$5=0,"",IF(演算タグ!K52&lt;0.001,"0.001未満",演算タグ!K52))</f>
        <v/>
      </c>
      <c r="H52" s="212" t="str">
        <f>IF(cnt_木瀬浄水!$N$5=0,"",IF(演算タグ!M52&lt;0.001,"0.001未満",演算タグ!M52))</f>
        <v/>
      </c>
      <c r="I52" s="212" t="str">
        <f>IF(cnt_木瀬児童!$N$5=0,"",IF(演算タグ!O52&lt;0.001,"0.001未満",演算タグ!O52))</f>
        <v/>
      </c>
      <c r="J52" s="212" t="str">
        <f>IF(cnt_西中山送配水!$N$5=0,"",IF(演算タグ!Q52&lt;0.001,"0.001未満",演算タグ!Q52))</f>
        <v/>
      </c>
      <c r="K52" s="212" t="str">
        <f>IF(cnt_西中山水質!$N$5=0,"",IF(演算タグ!S52&lt;0.001,"0.001未満",演算タグ!S52))</f>
        <v/>
      </c>
      <c r="L52" s="212" t="str">
        <f>IF(cnt_上川口!$N$5=0,"",IF(演算タグ!U52&lt;0.001,"0.001未満",演算タグ!U52))</f>
        <v/>
      </c>
      <c r="M52" s="212" t="str">
        <f>IF(cnt_折平!$N$5=0,"",IF(演算タグ!W52&lt;0.001,"0.001未満",演算タグ!W52))</f>
        <v/>
      </c>
      <c r="N52" s="255"/>
      <c r="O52" s="212"/>
      <c r="P52" s="187" t="str">
        <f>IFERROR(VLOOKUP(P$9,#REF!,22,FALSE),"")</f>
        <v/>
      </c>
      <c r="Q52" s="188" t="str">
        <f>IFERROR(VLOOKUP(Q$9,#REF!,22,FALSE),"")</f>
        <v/>
      </c>
      <c r="R52" s="188" t="str">
        <f>IFERROR(VLOOKUP(R$9,#REF!,22,FALSE),"")</f>
        <v/>
      </c>
      <c r="S52" s="188" t="str">
        <f>IFERROR(VLOOKUP(S$9,#REF!,22,FALSE),"")</f>
        <v/>
      </c>
      <c r="T52" s="188" t="str">
        <f>IFERROR(VLOOKUP(T$9,#REF!,22,FALSE),"")</f>
        <v/>
      </c>
      <c r="U52" s="188" t="str">
        <f>IFERROR(VLOOKUP(U$9,#REF!,22,FALSE),"")</f>
        <v/>
      </c>
      <c r="V52" s="188" t="str">
        <f>IFERROR(VLOOKUP(V$9,#REF!,22,FALSE),"")</f>
        <v/>
      </c>
      <c r="W52" s="188" t="str">
        <f>IFERROR(VLOOKUP(W$9,#REF!,22,FALSE),"")</f>
        <v/>
      </c>
      <c r="X52" s="188" t="str">
        <f>IFERROR(VLOOKUP(X$9,#REF!,22,FALSE),"")</f>
        <v/>
      </c>
      <c r="Y52" s="188" t="str">
        <f>IFERROR(VLOOKUP(Y$9,#REF!,22,FALSE),"")</f>
        <v/>
      </c>
      <c r="Z52" s="188" t="str">
        <f>IFERROR(VLOOKUP(Z$9,#REF!,22,FALSE),"")</f>
        <v/>
      </c>
      <c r="AA52" s="188" t="str">
        <f>IFERROR(VLOOKUP(ACL$9,#REF!,22,FALSE),"")</f>
        <v/>
      </c>
      <c r="AB52" s="188" t="str">
        <f>IFERROR(VLOOKUP(AB$9,#REF!,22,FALSE),"")</f>
        <v/>
      </c>
      <c r="AC52" s="188" t="str">
        <f>IFERROR(VLOOKUP(AC$9,#REF!,22,FALSE),"")</f>
        <v/>
      </c>
      <c r="AD52" s="188" t="str">
        <f>IFERROR(VLOOKUP(AD$9,#REF!,22,FALSE),"")</f>
        <v/>
      </c>
      <c r="AE52" s="188" t="str">
        <f>IFERROR(VLOOKUP(AE$9,#REF!,22,FALSE),"")</f>
        <v/>
      </c>
      <c r="AF52" s="188" t="str">
        <f>IFERROR(VLOOKUP(AF$9,#REF!,22,FALSE),"")</f>
        <v/>
      </c>
      <c r="AG52" s="193" t="e">
        <f>#REF!</f>
        <v>#REF!</v>
      </c>
      <c r="AH52" s="194"/>
    </row>
    <row r="53" spans="1:34" ht="11.1" customHeight="1">
      <c r="A53" s="207">
        <v>38</v>
      </c>
      <c r="B53" s="184" t="s">
        <v>35</v>
      </c>
      <c r="C53" s="209" t="s">
        <v>78</v>
      </c>
      <c r="D53" s="191">
        <f>IF(cnt_藤岡北部第１!$U$5=0,"",演算タグ!D53)</f>
        <v>3.8</v>
      </c>
      <c r="E53" s="191">
        <f>IF(cnt_西市野々!$U$5=0,"",演算タグ!F53)</f>
        <v>3.8</v>
      </c>
      <c r="F53" s="191">
        <f>IF(cnt_藤岡北部第２!$U$5=0,"",演算タグ!H53)</f>
        <v>4.4000000000000004</v>
      </c>
      <c r="G53" s="191">
        <f>IF(cnt_石畳!$U$5=0,"",演算タグ!J53)</f>
        <v>4.5</v>
      </c>
      <c r="H53" s="191">
        <f>IF(cnt_木瀬浄水!$U$5=0,"",演算タグ!L53)</f>
        <v>10</v>
      </c>
      <c r="I53" s="191">
        <f>IF(cnt_木瀬児童!$U$5=0,"",演算タグ!N53)</f>
        <v>8.3000000000000007</v>
      </c>
      <c r="J53" s="191">
        <f>IF(cnt_西中山送配水!$U$5=0,"",演算タグ!P53)</f>
        <v>5.4</v>
      </c>
      <c r="K53" s="191">
        <f>IF(cnt_西中山水質!$U$5=0,"",演算タグ!R53)</f>
        <v>5.4</v>
      </c>
      <c r="L53" s="191">
        <f>IF(cnt_上川口!$U$5=0,"",演算タグ!T53)</f>
        <v>5.9</v>
      </c>
      <c r="M53" s="191">
        <f>IF(cnt_折平!$U$5=0,"",演算タグ!V53)</f>
        <v>5.5</v>
      </c>
      <c r="N53" s="190"/>
      <c r="O53" s="191"/>
      <c r="P53" s="187" t="str">
        <f>IFERROR(VLOOKUP(P$9,#REF!,32,FALSE),"")</f>
        <v/>
      </c>
      <c r="Q53" s="188" t="str">
        <f>IFERROR(VLOOKUP(Q$9,#REF!,32,FALSE),"")</f>
        <v/>
      </c>
      <c r="R53" s="188" t="str">
        <f>IFERROR(VLOOKUP(R$9,#REF!,32,FALSE),"")</f>
        <v/>
      </c>
      <c r="S53" s="188" t="str">
        <f>IFERROR(VLOOKUP(S$9,#REF!,32,FALSE),"")</f>
        <v/>
      </c>
      <c r="T53" s="188" t="str">
        <f>IFERROR(VLOOKUP(T$9,#REF!,32,FALSE),"")</f>
        <v/>
      </c>
      <c r="U53" s="188" t="str">
        <f>IFERROR(VLOOKUP(U$9,#REF!,32,FALSE),"")</f>
        <v/>
      </c>
      <c r="V53" s="188" t="str">
        <f>IFERROR(VLOOKUP(V$9,#REF!,32,FALSE),"")</f>
        <v/>
      </c>
      <c r="W53" s="188" t="str">
        <f>IFERROR(VLOOKUP(W$9,#REF!,32,FALSE),"")</f>
        <v/>
      </c>
      <c r="X53" s="188" t="str">
        <f>IFERROR(VLOOKUP(X$9,#REF!,32,FALSE),"")</f>
        <v/>
      </c>
      <c r="Y53" s="188" t="str">
        <f>IFERROR(VLOOKUP(Y$9,#REF!,32,FALSE),"")</f>
        <v/>
      </c>
      <c r="Z53" s="188" t="str">
        <f>IFERROR(VLOOKUP(Z$9,#REF!,32,FALSE),"")</f>
        <v/>
      </c>
      <c r="AA53" s="188" t="str">
        <f>IFERROR(VLOOKUP(ACL$9,#REF!,32,FALSE),"")</f>
        <v/>
      </c>
      <c r="AB53" s="188" t="str">
        <f>IFERROR(VLOOKUP(AB$9,#REF!,32,FALSE),"")</f>
        <v/>
      </c>
      <c r="AC53" s="188" t="str">
        <f>IFERROR(VLOOKUP(AC$9,#REF!,32,FALSE),"")</f>
        <v/>
      </c>
      <c r="AD53" s="188" t="str">
        <f>IFERROR(VLOOKUP(AD$9,#REF!,32,FALSE),"")</f>
        <v/>
      </c>
      <c r="AE53" s="188" t="str">
        <f>IFERROR(VLOOKUP(AE$9,#REF!,32,FALSE),"")</f>
        <v/>
      </c>
      <c r="AF53" s="188" t="str">
        <f>IFERROR(VLOOKUP(AF$9,#REF!,32,FALSE),"")</f>
        <v/>
      </c>
      <c r="AG53" s="193" t="e">
        <f>#REF!</f>
        <v>#REF!</v>
      </c>
      <c r="AH53" s="194"/>
    </row>
    <row r="54" spans="1:34" ht="11.1" customHeight="1">
      <c r="A54" s="207">
        <v>39</v>
      </c>
      <c r="B54" s="184" t="s">
        <v>36</v>
      </c>
      <c r="C54" s="209" t="s">
        <v>78</v>
      </c>
      <c r="D54" s="191" t="str">
        <f>IF(cnt_藤岡北部第１!$Z$5=0,"",演算タグ!D54)</f>
        <v/>
      </c>
      <c r="E54" s="191" t="str">
        <f>IF(cnt_西市野々!$Z$5=0,"",演算タグ!F54)</f>
        <v/>
      </c>
      <c r="F54" s="191" t="str">
        <f>IF(cnt_藤岡北部第２!$Z$5=0,"",演算タグ!H54)</f>
        <v/>
      </c>
      <c r="G54" s="191" t="str">
        <f>IF(cnt_石畳!$Z$5=0,"",演算タグ!J54)</f>
        <v/>
      </c>
      <c r="H54" s="191" t="str">
        <f>IF(cnt_木瀬浄水!$Z$5=0,"",演算タグ!L54)</f>
        <v/>
      </c>
      <c r="I54" s="191" t="str">
        <f>IF(cnt_木瀬児童!$Z$5=0,"",演算タグ!N54)</f>
        <v/>
      </c>
      <c r="J54" s="191" t="str">
        <f>IF(cnt_西中山送配水!$Z$5=0,"",演算タグ!P54)</f>
        <v/>
      </c>
      <c r="K54" s="191" t="str">
        <f>IF(cnt_西中山水質!$Z$5=0,"",演算タグ!R54)</f>
        <v/>
      </c>
      <c r="L54" s="191" t="str">
        <f>IF(cnt_上川口!$Z$5=0,"",演算タグ!T54)</f>
        <v/>
      </c>
      <c r="M54" s="191" t="str">
        <f>IF(cnt_折平!$Z$5=0,"",演算タグ!V54)</f>
        <v/>
      </c>
      <c r="N54" s="190"/>
      <c r="O54" s="191"/>
      <c r="P54" s="187" t="str">
        <f>IFERROR(VLOOKUP(P$9,#REF!,40,FALSE),"")</f>
        <v/>
      </c>
      <c r="Q54" s="188" t="str">
        <f>IFERROR(VLOOKUP(Q$9,#REF!,40,FALSE),"")</f>
        <v/>
      </c>
      <c r="R54" s="188" t="str">
        <f>IFERROR(VLOOKUP(R$9,#REF!,40,FALSE),"")</f>
        <v/>
      </c>
      <c r="S54" s="188" t="str">
        <f>IFERROR(VLOOKUP(S$9,#REF!,40,FALSE),"")</f>
        <v/>
      </c>
      <c r="T54" s="188" t="str">
        <f>IFERROR(VLOOKUP(T$9,#REF!,40,FALSE),"")</f>
        <v/>
      </c>
      <c r="U54" s="188" t="str">
        <f>IFERROR(VLOOKUP(U$9,#REF!,40,FALSE),"")</f>
        <v/>
      </c>
      <c r="V54" s="188" t="str">
        <f>IFERROR(VLOOKUP(V$9,#REF!,40,FALSE),"")</f>
        <v/>
      </c>
      <c r="W54" s="188" t="str">
        <f>IFERROR(VLOOKUP(W$9,#REF!,40,FALSE),"")</f>
        <v/>
      </c>
      <c r="X54" s="188" t="str">
        <f>IFERROR(VLOOKUP(X$9,#REF!,40,FALSE),"")</f>
        <v/>
      </c>
      <c r="Y54" s="188" t="str">
        <f>IFERROR(VLOOKUP(Y$9,#REF!,40,FALSE),"")</f>
        <v/>
      </c>
      <c r="Z54" s="188" t="str">
        <f>IFERROR(VLOOKUP(Z$9,#REF!,40,FALSE),"")</f>
        <v/>
      </c>
      <c r="AA54" s="188" t="str">
        <f>IFERROR(VLOOKUP(ACL$9,#REF!,40,FALSE),"")</f>
        <v/>
      </c>
      <c r="AB54" s="188" t="str">
        <f>IFERROR(VLOOKUP(AB$9,#REF!,40,FALSE),"")</f>
        <v/>
      </c>
      <c r="AC54" s="188" t="str">
        <f>IFERROR(VLOOKUP(AC$9,#REF!,40,FALSE),"")</f>
        <v/>
      </c>
      <c r="AD54" s="188" t="str">
        <f>IFERROR(VLOOKUP(AD$9,#REF!,40,FALSE),"")</f>
        <v/>
      </c>
      <c r="AE54" s="188" t="str">
        <f>IFERROR(VLOOKUP(AE$9,#REF!,40,FALSE),"")</f>
        <v/>
      </c>
      <c r="AF54" s="188" t="str">
        <f>IFERROR(VLOOKUP(AF$9,#REF!,40,FALSE),"")</f>
        <v/>
      </c>
      <c r="AG54" s="193" t="e">
        <f>#REF!</f>
        <v>#REF!</v>
      </c>
      <c r="AH54" s="194"/>
    </row>
    <row r="55" spans="1:34" ht="11.1" customHeight="1">
      <c r="A55" s="207">
        <v>40</v>
      </c>
      <c r="B55" s="184" t="s">
        <v>48</v>
      </c>
      <c r="C55" s="209" t="s">
        <v>78</v>
      </c>
      <c r="D55" s="188" t="str">
        <f>IF(cnt_藤岡北部第１!$AW$5=0,"",演算タグ!D55)</f>
        <v/>
      </c>
      <c r="E55" s="188" t="str">
        <f>IF(cnt_西市野々!$AW$5=0,"",演算タグ!F55)</f>
        <v/>
      </c>
      <c r="F55" s="188" t="str">
        <f>IF(cnt_藤岡北部第２!$AW$5=0,"",演算タグ!H55)</f>
        <v/>
      </c>
      <c r="G55" s="188" t="str">
        <f>IF(cnt_石畳!$AW$5=0,"",演算タグ!J55)</f>
        <v/>
      </c>
      <c r="H55" s="188" t="str">
        <f>IF(cnt_木瀬浄水!$AW$5=0,"",演算タグ!L55)</f>
        <v/>
      </c>
      <c r="I55" s="188" t="str">
        <f>IF(cnt_木瀬児童!$AW$5=0,"",演算タグ!N55)</f>
        <v/>
      </c>
      <c r="J55" s="188" t="str">
        <f>IF(cnt_西中山送配水!$AW$5=0,"",演算タグ!P55)</f>
        <v/>
      </c>
      <c r="K55" s="188" t="str">
        <f>IF(cnt_西中山水質!$AW$5=0,"",演算タグ!R55)</f>
        <v/>
      </c>
      <c r="L55" s="188" t="str">
        <f>IF(cnt_上川口!$AW$5=0,"",演算タグ!T55)</f>
        <v/>
      </c>
      <c r="M55" s="188" t="str">
        <f>IF(cnt_折平!$AW$5=0,"",演算タグ!V55)</f>
        <v/>
      </c>
      <c r="N55" s="187"/>
      <c r="O55" s="188"/>
      <c r="P55" s="187" t="str">
        <f>IFERROR(VLOOKUP(P$9,#REF!,71,FALSE),"")</f>
        <v/>
      </c>
      <c r="Q55" s="188" t="str">
        <f>IFERROR(VLOOKUP(Q$9,#REF!,71,FALSE),"")</f>
        <v/>
      </c>
      <c r="R55" s="188" t="str">
        <f>IFERROR(VLOOKUP(R$9,#REF!,71,FALSE),"")</f>
        <v/>
      </c>
      <c r="S55" s="188" t="str">
        <f>IFERROR(VLOOKUP(S$9,#REF!,71,FALSE),"")</f>
        <v/>
      </c>
      <c r="T55" s="188" t="str">
        <f>IFERROR(VLOOKUP(T$9,#REF!,71,FALSE),"")</f>
        <v/>
      </c>
      <c r="U55" s="188" t="str">
        <f>IFERROR(VLOOKUP(U$9,#REF!,71,FALSE),"")</f>
        <v/>
      </c>
      <c r="V55" s="188" t="str">
        <f>IFERROR(VLOOKUP(V$9,#REF!,71,FALSE),"")</f>
        <v/>
      </c>
      <c r="W55" s="188" t="str">
        <f>IFERROR(VLOOKUP(W$9,#REF!,71,FALSE),"")</f>
        <v/>
      </c>
      <c r="X55" s="188" t="str">
        <f>IFERROR(VLOOKUP(X$9,#REF!,71,FALSE),"")</f>
        <v/>
      </c>
      <c r="Y55" s="188" t="str">
        <f>IFERROR(VLOOKUP(Y$9,#REF!,71,FALSE),"")</f>
        <v/>
      </c>
      <c r="Z55" s="188" t="str">
        <f>IFERROR(VLOOKUP(Z$9,#REF!,71,FALSE),"")</f>
        <v/>
      </c>
      <c r="AA55" s="188" t="str">
        <f>IFERROR(VLOOKUP(ACL$9,#REF!,71,FALSE),"")</f>
        <v/>
      </c>
      <c r="AB55" s="188" t="str">
        <f>IFERROR(VLOOKUP(AB$9,#REF!,71,FALSE),"")</f>
        <v/>
      </c>
      <c r="AC55" s="188" t="str">
        <f>IFERROR(VLOOKUP(AC$9,#REF!,71,FALSE),"")</f>
        <v/>
      </c>
      <c r="AD55" s="188" t="str">
        <f>IFERROR(VLOOKUP(AD$9,#REF!,71,FALSE),"")</f>
        <v/>
      </c>
      <c r="AE55" s="188" t="str">
        <f>IFERROR(VLOOKUP(AE$9,#REF!,71,FALSE),"")</f>
        <v/>
      </c>
      <c r="AF55" s="188" t="str">
        <f>IFERROR(VLOOKUP(AF$9,#REF!,71,FALSE),"")</f>
        <v/>
      </c>
      <c r="AG55" s="193" t="e">
        <f>#REF!</f>
        <v>#REF!</v>
      </c>
      <c r="AH55" s="194"/>
    </row>
    <row r="56" spans="1:34" ht="11.1" customHeight="1">
      <c r="A56" s="207">
        <v>41</v>
      </c>
      <c r="B56" s="184" t="s">
        <v>37</v>
      </c>
      <c r="C56" s="209" t="s">
        <v>78</v>
      </c>
      <c r="D56" s="213" t="str">
        <f>IF(cnt_藤岡北部第１!$AX$5=0,"",IF(演算タグ!D56&lt;0.02,"0.02未満",演算タグ!D56))</f>
        <v/>
      </c>
      <c r="E56" s="213" t="str">
        <f>IF(cnt_西市野々!$AX$5=0,"",IF(演算タグ!F56&lt;0.02,"0.02未満",演算タグ!F56))</f>
        <v/>
      </c>
      <c r="F56" s="213" t="str">
        <f>IF(cnt_藤岡北部第２!$AX$5=0,"",IF(演算タグ!H56&lt;0.02,"0.02未満",演算タグ!H56))</f>
        <v/>
      </c>
      <c r="G56" s="213" t="str">
        <f>IF(cnt_石畳!$AX$5=0,"",IF(演算タグ!J56&lt;0.02,"0.02未満",演算タグ!J56))</f>
        <v/>
      </c>
      <c r="H56" s="213" t="str">
        <f>IF(cnt_木瀬浄水!$AX$5=0,"",IF(演算タグ!L56&lt;0.02,"0.02未満",演算タグ!L56))</f>
        <v/>
      </c>
      <c r="I56" s="213" t="str">
        <f>IF(cnt_木瀬児童!$AX$5=0,"",IF(演算タグ!N56&lt;0.02,"0.02未満",演算タグ!N56))</f>
        <v/>
      </c>
      <c r="J56" s="213" t="str">
        <f>IF(cnt_西中山送配水!$AX$5=0,"",IF(演算タグ!P56&lt;0.02,"0.02未満",演算タグ!P56))</f>
        <v/>
      </c>
      <c r="K56" s="213" t="str">
        <f>IF(cnt_西中山水質!$AX$5=0,"",IF(演算タグ!R56&lt;0.02,"0.02未満",演算タグ!R56))</f>
        <v/>
      </c>
      <c r="L56" s="213" t="str">
        <f>IF(cnt_上川口!$AX$5=0,"",IF(演算タグ!T56&lt;0.02,"0.02未満",演算タグ!T56))</f>
        <v/>
      </c>
      <c r="M56" s="213" t="str">
        <f>IF(cnt_折平!$AX$5=0,"",IF(演算タグ!V56&lt;0.02,"0.02未満",演算タグ!V56))</f>
        <v/>
      </c>
      <c r="N56" s="256"/>
      <c r="O56" s="213"/>
      <c r="P56" s="187" t="str">
        <f>IFERROR(VLOOKUP(P$9,#REF!,78,FALSE),"")</f>
        <v/>
      </c>
      <c r="Q56" s="188" t="str">
        <f>IFERROR(VLOOKUP(Q$9,#REF!,78,FALSE),"")</f>
        <v/>
      </c>
      <c r="R56" s="188" t="str">
        <f>IFERROR(VLOOKUP(R$9,#REF!,78,FALSE),"")</f>
        <v/>
      </c>
      <c r="S56" s="188" t="str">
        <f>IFERROR(VLOOKUP(S$9,#REF!,78,FALSE),"")</f>
        <v/>
      </c>
      <c r="T56" s="188" t="str">
        <f>IFERROR(VLOOKUP(T$9,#REF!,78,FALSE),"")</f>
        <v/>
      </c>
      <c r="U56" s="188" t="str">
        <f>IFERROR(VLOOKUP(U$9,#REF!,78,FALSE),"")</f>
        <v/>
      </c>
      <c r="V56" s="188" t="str">
        <f>IFERROR(VLOOKUP(V$9,#REF!,78,FALSE),"")</f>
        <v/>
      </c>
      <c r="W56" s="188" t="str">
        <f>IFERROR(VLOOKUP(W$9,#REF!,78,FALSE),"")</f>
        <v/>
      </c>
      <c r="X56" s="188" t="str">
        <f>IFERROR(VLOOKUP(X$9,#REF!,78,FALSE),"")</f>
        <v/>
      </c>
      <c r="Y56" s="188" t="str">
        <f>IFERROR(VLOOKUP(Y$9,#REF!,78,FALSE),"")</f>
        <v/>
      </c>
      <c r="Z56" s="188" t="str">
        <f>IFERROR(VLOOKUP(Z$9,#REF!,78,FALSE),"")</f>
        <v/>
      </c>
      <c r="AA56" s="188" t="str">
        <f>IFERROR(VLOOKUP(ACL$9,#REF!,78,FALSE),"")</f>
        <v/>
      </c>
      <c r="AB56" s="188" t="str">
        <f>IFERROR(VLOOKUP(AB$9,#REF!,78,FALSE),"")</f>
        <v/>
      </c>
      <c r="AC56" s="188" t="str">
        <f>IFERROR(VLOOKUP(AC$9,#REF!,78,FALSE),"")</f>
        <v/>
      </c>
      <c r="AD56" s="188" t="str">
        <f>IFERROR(VLOOKUP(AD$9,#REF!,78,FALSE),"")</f>
        <v/>
      </c>
      <c r="AE56" s="188" t="str">
        <f>IFERROR(VLOOKUP(AE$9,#REF!,78,FALSE),"")</f>
        <v/>
      </c>
      <c r="AF56" s="188" t="str">
        <f>IFERROR(VLOOKUP(AF$9,#REF!,78,FALSE),"")</f>
        <v/>
      </c>
      <c r="AG56" s="193" t="e">
        <f>#REF!</f>
        <v>#REF!</v>
      </c>
      <c r="AH56" s="194"/>
    </row>
    <row r="57" spans="1:34" ht="11.1" customHeight="1">
      <c r="A57" s="207">
        <v>42</v>
      </c>
      <c r="B57" s="184" t="s">
        <v>38</v>
      </c>
      <c r="C57" s="209" t="s">
        <v>78</v>
      </c>
      <c r="D57" s="216" t="str">
        <f>IF(cnt_藤岡北部第１!$AZ$5=0,"",IF(演算タグ!E57&lt;0.000001,"0.000001未満",演算タグ!E57))</f>
        <v>0.000001未満</v>
      </c>
      <c r="E57" s="216" t="str">
        <f>IF(cnt_西市野々!$AZ$5=0,"",IF(演算タグ!G57&lt;0.000001,"0.000001未満",演算タグ!G57))</f>
        <v>0.000001未満</v>
      </c>
      <c r="F57" s="216" t="str">
        <f>IF(cnt_藤岡北部第２!$AZ$5=0,"",IF(演算タグ!I57&lt;0.000001,"0.000001未満",演算タグ!I57))</f>
        <v>0.000001未満</v>
      </c>
      <c r="G57" s="216" t="str">
        <f>IF(cnt_石畳!$AZ$5=0,"",IF(演算タグ!K57&lt;0.000001,"0.000001未満",演算タグ!K57))</f>
        <v>0.000001未満</v>
      </c>
      <c r="H57" s="216" t="str">
        <f>IF(cnt_木瀬浄水!$AZ$5=0,"",IF(演算タグ!M57&lt;0.000001,"0.000001未満",演算タグ!M57))</f>
        <v>0.000001未満</v>
      </c>
      <c r="I57" s="216" t="str">
        <f>IF(cnt_木瀬児童!$AZ$5=0,"",IF(演算タグ!O57&lt;0.000001,"0.000001未満",演算タグ!O57))</f>
        <v>0.000001未満</v>
      </c>
      <c r="J57" s="216">
        <f>IF(cnt_西中山送配水!$AZ$5=0,"",IF(演算タグ!Q57&lt;0.000001,"0.000001未満",演算タグ!Q57))</f>
        <v>1.9999999999999999E-6</v>
      </c>
      <c r="K57" s="216">
        <f>IF(cnt_西中山水質!$AZ$5=0,"",IF(演算タグ!S57&lt;0.000001,"0.000001未満",演算タグ!S57))</f>
        <v>1.9999999999999999E-6</v>
      </c>
      <c r="L57" s="216">
        <f>IF(cnt_上川口!$AZ$5=0,"",IF(演算タグ!U57&lt;0.000001,"0.000001未満",演算タグ!U57))</f>
        <v>1.9999999999999999E-6</v>
      </c>
      <c r="M57" s="216">
        <f>IF(cnt_折平!$AZ$5=0,"",IF(演算タグ!W57&lt;0.000001,"0.000001未満",演算タグ!W57))</f>
        <v>1.9999999999999999E-6</v>
      </c>
      <c r="N57" s="257"/>
      <c r="O57" s="216"/>
      <c r="P57" s="187" t="str">
        <f>IFERROR(VLOOKUP(P$9,#REF!,80,FALSE),"")</f>
        <v/>
      </c>
      <c r="Q57" s="188" t="str">
        <f>IFERROR(VLOOKUP(Q$9,#REF!,80,FALSE),"")</f>
        <v/>
      </c>
      <c r="R57" s="188" t="str">
        <f>IFERROR(VLOOKUP(R$9,#REF!,80,FALSE),"")</f>
        <v/>
      </c>
      <c r="S57" s="188" t="str">
        <f>IFERROR(VLOOKUP(S$9,#REF!,80,FALSE),"")</f>
        <v/>
      </c>
      <c r="T57" s="188" t="str">
        <f>IFERROR(VLOOKUP(T$9,#REF!,80,FALSE),"")</f>
        <v/>
      </c>
      <c r="U57" s="188" t="str">
        <f>IFERROR(VLOOKUP(U$9,#REF!,80,FALSE),"")</f>
        <v/>
      </c>
      <c r="V57" s="188" t="str">
        <f>IFERROR(VLOOKUP(V$9,#REF!,80,FALSE),"")</f>
        <v/>
      </c>
      <c r="W57" s="188" t="str">
        <f>IFERROR(VLOOKUP(W$9,#REF!,80,FALSE),"")</f>
        <v/>
      </c>
      <c r="X57" s="188" t="str">
        <f>IFERROR(VLOOKUP(X$9,#REF!,80,FALSE),"")</f>
        <v/>
      </c>
      <c r="Y57" s="188" t="str">
        <f>IFERROR(VLOOKUP(Y$9,#REF!,80,FALSE),"")</f>
        <v/>
      </c>
      <c r="Z57" s="188" t="str">
        <f>IFERROR(VLOOKUP(Z$9,#REF!,80,FALSE),"")</f>
        <v/>
      </c>
      <c r="AA57" s="188" t="str">
        <f>IFERROR(VLOOKUP(ACL$9,#REF!,80,FALSE),"")</f>
        <v/>
      </c>
      <c r="AB57" s="188" t="str">
        <f>IFERROR(VLOOKUP(AB$9,#REF!,80,FALSE),"")</f>
        <v/>
      </c>
      <c r="AC57" s="188" t="str">
        <f>IFERROR(VLOOKUP(AC$9,#REF!,80,FALSE),"")</f>
        <v/>
      </c>
      <c r="AD57" s="188" t="str">
        <f>IFERROR(VLOOKUP(AD$9,#REF!,80,FALSE),"")</f>
        <v/>
      </c>
      <c r="AE57" s="188" t="str">
        <f>IFERROR(VLOOKUP(AE$9,#REF!,80,FALSE),"")</f>
        <v/>
      </c>
      <c r="AF57" s="188" t="str">
        <f>IFERROR(VLOOKUP(AF$9,#REF!,80,FALSE),"")</f>
        <v/>
      </c>
      <c r="AG57" s="193" t="e">
        <f>#REF!</f>
        <v>#REF!</v>
      </c>
      <c r="AH57" s="194"/>
    </row>
    <row r="58" spans="1:34" ht="11.1" customHeight="1">
      <c r="A58" s="207">
        <v>43</v>
      </c>
      <c r="B58" s="184" t="s">
        <v>102</v>
      </c>
      <c r="C58" s="209" t="s">
        <v>78</v>
      </c>
      <c r="D58" s="216" t="str">
        <f>IF(cnt_藤岡北部第１!$AY$5=0,"",IF(演算タグ!E58&lt;0.000001,"0.000001未満",演算タグ!E58))</f>
        <v>0.000001未満</v>
      </c>
      <c r="E58" s="216" t="str">
        <f>IF(cnt_西市野々!$AY$5=0,"",IF(演算タグ!G58&lt;0.000001,"0.000001未満",演算タグ!G58))</f>
        <v>0.000001未満</v>
      </c>
      <c r="F58" s="216" t="str">
        <f>IF(cnt_藤岡北部第２!$AY$5=0,"",IF(演算タグ!I58&lt;0.000001,"0.000001未満",演算タグ!I58))</f>
        <v>0.000001未満</v>
      </c>
      <c r="G58" s="216" t="str">
        <f>IF(cnt_石畳!$AY$5=0,"",IF(演算タグ!K58&lt;0.000001,"0.000001未満",演算タグ!K58))</f>
        <v>0.000001未満</v>
      </c>
      <c r="H58" s="216" t="str">
        <f>IF(cnt_木瀬浄水!$AY$5=0,"",IF(演算タグ!M58&lt;0.000001,"0.000001未満",演算タグ!M58))</f>
        <v>0.000001未満</v>
      </c>
      <c r="I58" s="216" t="str">
        <f>IF(cnt_木瀬児童!$AY$5=0,"",IF(演算タグ!O58&lt;0.000001,"0.000001未満",演算タグ!O58))</f>
        <v>0.000001未満</v>
      </c>
      <c r="J58" s="216">
        <f>IF(cnt_西中山送配水!$AY$5=0,"",IF(演算タグ!Q58&lt;0.000001,"0.000001未満",演算タグ!Q58))</f>
        <v>9.9999999999999995E-7</v>
      </c>
      <c r="K58" s="216">
        <f>IF(cnt_西中山水質!$AY$5=0,"",IF(演算タグ!S58&lt;0.000001,"0.000001未満",演算タグ!S58))</f>
        <v>9.9999999999999995E-7</v>
      </c>
      <c r="L58" s="216">
        <f>IF(cnt_上川口!$AY$5=0,"",IF(演算タグ!U58&lt;0.000001,"0.000001未満",演算タグ!U58))</f>
        <v>9.9999999999999995E-7</v>
      </c>
      <c r="M58" s="216">
        <f>IF(cnt_折平!$AY$5=0,"",IF(演算タグ!W58&lt;0.000001,"0.000001未満",演算タグ!W58))</f>
        <v>9.9999999999999995E-7</v>
      </c>
      <c r="N58" s="257"/>
      <c r="O58" s="216"/>
      <c r="P58" s="187" t="str">
        <f>IFERROR(VLOOKUP(P$9,#REF!,81,FALSE),"")</f>
        <v/>
      </c>
      <c r="Q58" s="188" t="str">
        <f>IFERROR(VLOOKUP(Q$9,#REF!,81,FALSE),"")</f>
        <v/>
      </c>
      <c r="R58" s="188" t="str">
        <f>IFERROR(VLOOKUP(R$9,#REF!,81,FALSE),"")</f>
        <v/>
      </c>
      <c r="S58" s="188" t="str">
        <f>IFERROR(VLOOKUP(S$9,#REF!,81,FALSE),"")</f>
        <v/>
      </c>
      <c r="T58" s="188" t="str">
        <f>IFERROR(VLOOKUP(T$9,#REF!,81,FALSE),"")</f>
        <v/>
      </c>
      <c r="U58" s="188" t="str">
        <f>IFERROR(VLOOKUP(U$9,#REF!,81,FALSE),"")</f>
        <v/>
      </c>
      <c r="V58" s="188" t="str">
        <f>IFERROR(VLOOKUP(V$9,#REF!,81,FALSE),"")</f>
        <v/>
      </c>
      <c r="W58" s="188" t="str">
        <f>IFERROR(VLOOKUP(W$9,#REF!,81,FALSE),"")</f>
        <v/>
      </c>
      <c r="X58" s="188" t="str">
        <f>IFERROR(VLOOKUP(X$9,#REF!,81,FALSE),"")</f>
        <v/>
      </c>
      <c r="Y58" s="188" t="str">
        <f>IFERROR(VLOOKUP(Y$9,#REF!,81,FALSE),"")</f>
        <v/>
      </c>
      <c r="Z58" s="188" t="str">
        <f>IFERROR(VLOOKUP(Z$9,#REF!,81,FALSE),"")</f>
        <v/>
      </c>
      <c r="AA58" s="188" t="str">
        <f>IFERROR(VLOOKUP(ACL$9,#REF!,81,FALSE),"")</f>
        <v/>
      </c>
      <c r="AB58" s="188" t="str">
        <f>IFERROR(VLOOKUP(AB$9,#REF!,81,FALSE),"")</f>
        <v/>
      </c>
      <c r="AC58" s="188" t="str">
        <f>IFERROR(VLOOKUP(AC$9,#REF!,81,FALSE),"")</f>
        <v/>
      </c>
      <c r="AD58" s="188" t="str">
        <f>IFERROR(VLOOKUP(AD$9,#REF!,81,FALSE),"")</f>
        <v/>
      </c>
      <c r="AE58" s="188" t="str">
        <f>IFERROR(VLOOKUP(AE$9,#REF!,81,FALSE),"")</f>
        <v/>
      </c>
      <c r="AF58" s="188" t="str">
        <f>IFERROR(VLOOKUP(AF$9,#REF!,81,FALSE),"")</f>
        <v/>
      </c>
      <c r="AG58" s="193" t="e">
        <f>#REF!</f>
        <v>#REF!</v>
      </c>
      <c r="AH58" s="194"/>
    </row>
    <row r="59" spans="1:34" ht="11.1" customHeight="1">
      <c r="A59" s="207">
        <v>44</v>
      </c>
      <c r="B59" s="184" t="s">
        <v>39</v>
      </c>
      <c r="C59" s="209" t="s">
        <v>78</v>
      </c>
      <c r="D59" s="212" t="str">
        <f>IF(cnt_藤岡北部第１!$BA$5=0,"",IF(演算タグ!D59&lt;0.002,"0.002未満",演算タグ!D59))</f>
        <v/>
      </c>
      <c r="E59" s="212" t="str">
        <f>IF(cnt_西市野々!$BA$5=0,"",IF(演算タグ!F59&lt;0.002,"0.002未満",演算タグ!F59))</f>
        <v/>
      </c>
      <c r="F59" s="212" t="str">
        <f>IF(cnt_藤岡北部第２!$BA$5=0,"",IF(演算タグ!H59&lt;0.002,"0.002未満",演算タグ!H59))</f>
        <v/>
      </c>
      <c r="G59" s="212">
        <f>IF(cnt_石畳!$BA$5=0,"",IF(演算タグ!J59&lt;0.002,"0.002未満",演算タグ!J59))</f>
        <v>6.0000000000000001E-3</v>
      </c>
      <c r="H59" s="212" t="str">
        <f>IF(cnt_木瀬浄水!$BA$5=0,"",IF(演算タグ!L59&lt;0.002,"0.002未満",演算タグ!L59))</f>
        <v/>
      </c>
      <c r="I59" s="212" t="str">
        <f>IF(cnt_木瀬児童!$BA$5=0,"",IF(演算タグ!N59&lt;0.002,"0.002未満",演算タグ!N59))</f>
        <v/>
      </c>
      <c r="J59" s="212" t="str">
        <f>IF(cnt_西中山送配水!$BA$5=0,"",IF(演算タグ!P59&lt;0.002,"0.002未満",演算タグ!P59))</f>
        <v/>
      </c>
      <c r="K59" s="212" t="str">
        <f>IF(cnt_西中山水質!$BA$5=0,"",IF(演算タグ!R59&lt;0.002,"0.002未満",演算タグ!R59))</f>
        <v/>
      </c>
      <c r="L59" s="212">
        <f>IF(cnt_上川口!$BA$5=0,"",IF(演算タグ!T59&lt;0.002,"0.002未満",演算タグ!T59))</f>
        <v>4.0000000000000001E-3</v>
      </c>
      <c r="M59" s="212">
        <f>IF(cnt_折平!$BA$5=0,"",IF(演算タグ!V59&lt;0.002,"0.002未満",演算タグ!V59))</f>
        <v>5.0000000000000001E-3</v>
      </c>
      <c r="N59" s="255"/>
      <c r="O59" s="212"/>
      <c r="P59" s="187" t="str">
        <f>IFERROR(VLOOKUP(P$9,#REF!,84,FALSE),"")</f>
        <v/>
      </c>
      <c r="Q59" s="188" t="str">
        <f>IFERROR(VLOOKUP(Q$9,#REF!,84,FALSE),"")</f>
        <v/>
      </c>
      <c r="R59" s="188" t="str">
        <f>IFERROR(VLOOKUP(R$9,#REF!,84,FALSE),"")</f>
        <v/>
      </c>
      <c r="S59" s="188" t="str">
        <f>IFERROR(VLOOKUP(S$9,#REF!,84,FALSE),"")</f>
        <v/>
      </c>
      <c r="T59" s="188" t="str">
        <f>IFERROR(VLOOKUP(T$9,#REF!,84,FALSE),"")</f>
        <v/>
      </c>
      <c r="U59" s="188" t="str">
        <f>IFERROR(VLOOKUP(U$9,#REF!,84,FALSE),"")</f>
        <v/>
      </c>
      <c r="V59" s="188" t="str">
        <f>IFERROR(VLOOKUP(V$9,#REF!,84,FALSE),"")</f>
        <v/>
      </c>
      <c r="W59" s="188" t="str">
        <f>IFERROR(VLOOKUP(W$9,#REF!,84,FALSE),"")</f>
        <v/>
      </c>
      <c r="X59" s="188" t="str">
        <f>IFERROR(VLOOKUP(X$9,#REF!,84,FALSE),"")</f>
        <v/>
      </c>
      <c r="Y59" s="188" t="str">
        <f>IFERROR(VLOOKUP(Y$9,#REF!,84,FALSE),"")</f>
        <v/>
      </c>
      <c r="Z59" s="188" t="str">
        <f>IFERROR(VLOOKUP(Z$9,#REF!,84,FALSE),"")</f>
        <v/>
      </c>
      <c r="AA59" s="188" t="str">
        <f>IFERROR(VLOOKUP(ACL$9,#REF!,84,FALSE),"")</f>
        <v/>
      </c>
      <c r="AB59" s="188" t="str">
        <f>IFERROR(VLOOKUP(AB$9,#REF!,84,FALSE),"")</f>
        <v/>
      </c>
      <c r="AC59" s="188" t="str">
        <f>IFERROR(VLOOKUP(AC$9,#REF!,84,FALSE),"")</f>
        <v/>
      </c>
      <c r="AD59" s="188" t="str">
        <f>IFERROR(VLOOKUP(AD$9,#REF!,84,FALSE),"")</f>
        <v/>
      </c>
      <c r="AE59" s="188" t="str">
        <f>IFERROR(VLOOKUP(AE$9,#REF!,84,FALSE),"")</f>
        <v/>
      </c>
      <c r="AF59" s="188" t="str">
        <f>IFERROR(VLOOKUP(AF$9,#REF!,84,FALSE),"")</f>
        <v/>
      </c>
      <c r="AG59" s="193" t="e">
        <f>#REF!</f>
        <v>#REF!</v>
      </c>
      <c r="AH59" s="194"/>
    </row>
    <row r="60" spans="1:34" ht="11.1" customHeight="1">
      <c r="A60" s="207">
        <v>45</v>
      </c>
      <c r="B60" s="184" t="s">
        <v>40</v>
      </c>
      <c r="C60" s="209" t="s">
        <v>78</v>
      </c>
      <c r="D60" s="210" t="str">
        <f>IF(cnt_藤岡北部第１!$BB$5=0,"",IF(演算タグ!E60&lt;0.0005,"0.0005未満",演算タグ!E60))</f>
        <v/>
      </c>
      <c r="E60" s="210" t="str">
        <f>IF(cnt_西市野々!$BB$5=0,"",IF(演算タグ!G60&lt;0.0005,"0.0005未満",演算タグ!G60))</f>
        <v/>
      </c>
      <c r="F60" s="210" t="str">
        <f>IF(cnt_藤岡北部第２!$BB$5=0,"",IF(演算タグ!I60&lt;0.0005,"0.0005未満",演算タグ!I60))</f>
        <v/>
      </c>
      <c r="G60" s="210" t="str">
        <f>IF(cnt_石畳!$BB$5=0,"",IF(演算タグ!K60&lt;0.0005,"0.0005未満",演算タグ!K60))</f>
        <v/>
      </c>
      <c r="H60" s="210" t="str">
        <f>IF(cnt_木瀬浄水!$BB$5=0,"",IF(演算タグ!M60&lt;0.0005,"0.0005未満",演算タグ!M60))</f>
        <v/>
      </c>
      <c r="I60" s="210" t="str">
        <f>IF(cnt_木瀬児童!$BB$5=0,"",IF(演算タグ!O60&lt;0.0005,"0.0005未満",演算タグ!O60))</f>
        <v/>
      </c>
      <c r="J60" s="210" t="str">
        <f>IF(cnt_西中山送配水!$BB$5=0,"",IF(演算タグ!Q60&lt;0.0005,"0.0005未満",演算タグ!Q60))</f>
        <v/>
      </c>
      <c r="K60" s="210" t="str">
        <f>IF(cnt_西中山水質!$BB$5=0,"",IF(演算タグ!S60&lt;0.0005,"0.0005未満",演算タグ!S60))</f>
        <v/>
      </c>
      <c r="L60" s="210" t="str">
        <f>IF(cnt_上川口!$BB$5=0,"",IF(演算タグ!U60&lt;0.0005,"0.0005未満",演算タグ!U60))</f>
        <v/>
      </c>
      <c r="M60" s="210" t="str">
        <f>IF(cnt_折平!$BB$5=0,"",IF(演算タグ!W60&lt;0.0005,"0.0005未満",演算タグ!W60))</f>
        <v/>
      </c>
      <c r="N60" s="253"/>
      <c r="O60" s="210"/>
      <c r="P60" s="187" t="str">
        <f>IFERROR(VLOOKUP(P$9,#REF!,93,FALSE),"")</f>
        <v/>
      </c>
      <c r="Q60" s="188" t="str">
        <f>IFERROR(VLOOKUP(Q$9,#REF!,93,FALSE),"")</f>
        <v/>
      </c>
      <c r="R60" s="188" t="str">
        <f>IFERROR(VLOOKUP(R$9,#REF!,93,FALSE),"")</f>
        <v/>
      </c>
      <c r="S60" s="188" t="str">
        <f>IFERROR(VLOOKUP(S$9,#REF!,93,FALSE),"")</f>
        <v/>
      </c>
      <c r="T60" s="188" t="str">
        <f>IFERROR(VLOOKUP(T$9,#REF!,93,FALSE),"")</f>
        <v/>
      </c>
      <c r="U60" s="188" t="str">
        <f>IFERROR(VLOOKUP(U$9,#REF!,93,FALSE),"")</f>
        <v/>
      </c>
      <c r="V60" s="188" t="str">
        <f>IFERROR(VLOOKUP(V$9,#REF!,93,FALSE),"")</f>
        <v/>
      </c>
      <c r="W60" s="188" t="str">
        <f>IFERROR(VLOOKUP(W$9,#REF!,93,FALSE),"")</f>
        <v/>
      </c>
      <c r="X60" s="188" t="str">
        <f>IFERROR(VLOOKUP(X$9,#REF!,93,FALSE),"")</f>
        <v/>
      </c>
      <c r="Y60" s="188" t="str">
        <f>IFERROR(VLOOKUP(Y$9,#REF!,93,FALSE),"")</f>
        <v/>
      </c>
      <c r="Z60" s="188" t="str">
        <f>IFERROR(VLOOKUP(Z$9,#REF!,93,FALSE),"")</f>
        <v/>
      </c>
      <c r="AA60" s="188" t="str">
        <f>IFERROR(VLOOKUP(ACL$9,#REF!,93,FALSE),"")</f>
        <v/>
      </c>
      <c r="AB60" s="188" t="str">
        <f>IFERROR(VLOOKUP(AB$9,#REF!,93,FALSE),"")</f>
        <v/>
      </c>
      <c r="AC60" s="188" t="str">
        <f>IFERROR(VLOOKUP(AC$9,#REF!,93,FALSE),"")</f>
        <v/>
      </c>
      <c r="AD60" s="188" t="str">
        <f>IFERROR(VLOOKUP(AD$9,#REF!,93,FALSE),"")</f>
        <v/>
      </c>
      <c r="AE60" s="188" t="str">
        <f>IFERROR(VLOOKUP(AE$9,#REF!,93,FALSE),"")</f>
        <v/>
      </c>
      <c r="AF60" s="188" t="str">
        <f>IFERROR(VLOOKUP(AF$9,#REF!,93,FALSE),"")</f>
        <v/>
      </c>
      <c r="AG60" s="193" t="e">
        <f>#REF!</f>
        <v>#REF!</v>
      </c>
      <c r="AH60" s="194"/>
    </row>
    <row r="61" spans="1:34" ht="10.5" customHeight="1">
      <c r="A61" s="207">
        <v>46</v>
      </c>
      <c r="B61" s="184" t="s">
        <v>348</v>
      </c>
      <c r="C61" s="209" t="s">
        <v>78</v>
      </c>
      <c r="D61" s="191">
        <f>IF(cnt_藤岡北部第１!$BC$5=0,"",IF(演算タグ!D61&lt;0.2,"0.2未満",演算タグ!D61))</f>
        <v>0.4</v>
      </c>
      <c r="E61" s="191">
        <f>IF(cnt_西市野々!$BC$5=0,"",IF(演算タグ!F61&lt;0.2,"0.2未満",演算タグ!F61))</f>
        <v>0.4</v>
      </c>
      <c r="F61" s="191">
        <f>IF(cnt_藤岡北部第２!$BC$5=0,"",IF(演算タグ!H61&lt;0.2,"0.2未満",演算タグ!H61))</f>
        <v>0.5</v>
      </c>
      <c r="G61" s="191">
        <f>IF(cnt_石畳!$BC$5=0,"",IF(演算タグ!J61&lt;0.2,"0.2未満",演算タグ!J61))</f>
        <v>0.6</v>
      </c>
      <c r="H61" s="191">
        <f>IF(cnt_木瀬浄水!$BC$5=0,"",IF(演算タグ!L61&lt;0.2,"0.2未満",演算タグ!L61))</f>
        <v>0.6</v>
      </c>
      <c r="I61" s="191">
        <f>IF(cnt_木瀬児童!$BC$5=0,"",IF(演算タグ!N61&lt;0.2,"0.2未満",演算タグ!N61))</f>
        <v>0.6</v>
      </c>
      <c r="J61" s="191">
        <f>IF(cnt_西中山送配水!$BC$5=0,"",IF(演算タグ!P61&lt;0.2,"0.2未満",演算タグ!P61))</f>
        <v>0.5</v>
      </c>
      <c r="K61" s="191">
        <f>IF(cnt_西中山水質!$BC$5=0,"",IF(演算タグ!R61&lt;0.2,"0.2未満",演算タグ!R61))</f>
        <v>0.5</v>
      </c>
      <c r="L61" s="191">
        <f>IF(cnt_上川口!$BC$5=0,"",IF(演算タグ!T61&lt;0.2,"0.2未満",演算タグ!T61))</f>
        <v>0.5</v>
      </c>
      <c r="M61" s="191">
        <f>IF(cnt_折平!$BC$5=0,"",IF(演算タグ!V61&lt;0.2,"0.2未満",演算タグ!V61))</f>
        <v>0.5</v>
      </c>
      <c r="N61" s="190"/>
      <c r="O61" s="191"/>
      <c r="P61" s="187" t="str">
        <f>IFERROR(VLOOKUP(P$9,#REF!,95,FALSE),"")</f>
        <v/>
      </c>
      <c r="Q61" s="188" t="str">
        <f>IFERROR(VLOOKUP(Q$9,#REF!,95,FALSE),"")</f>
        <v/>
      </c>
      <c r="R61" s="188" t="str">
        <f>IFERROR(VLOOKUP(R$9,#REF!,95,FALSE),"")</f>
        <v/>
      </c>
      <c r="S61" s="188" t="str">
        <f>IFERROR(VLOOKUP(S$9,#REF!,95,FALSE),"")</f>
        <v/>
      </c>
      <c r="T61" s="188" t="str">
        <f>IFERROR(VLOOKUP(T$9,#REF!,95,FALSE),"")</f>
        <v/>
      </c>
      <c r="U61" s="188" t="str">
        <f>IFERROR(VLOOKUP(U$9,#REF!,95,FALSE),"")</f>
        <v/>
      </c>
      <c r="V61" s="188" t="str">
        <f>IFERROR(VLOOKUP(V$9,#REF!,95,FALSE),"")</f>
        <v/>
      </c>
      <c r="W61" s="188" t="str">
        <f>IFERROR(VLOOKUP(W$9,#REF!,95,FALSE),"")</f>
        <v/>
      </c>
      <c r="X61" s="188" t="str">
        <f>IFERROR(VLOOKUP(X$9,#REF!,95,FALSE),"")</f>
        <v/>
      </c>
      <c r="Y61" s="188" t="str">
        <f>IFERROR(VLOOKUP(Y$9,#REF!,95,FALSE),"")</f>
        <v/>
      </c>
      <c r="Z61" s="188" t="str">
        <f>IFERROR(VLOOKUP(Z$9,#REF!,95,FALSE),"")</f>
        <v/>
      </c>
      <c r="AA61" s="188" t="str">
        <f>IFERROR(VLOOKUP(ACL$9,#REF!,95,FALSE),"")</f>
        <v/>
      </c>
      <c r="AB61" s="188" t="str">
        <f>IFERROR(VLOOKUP(AB$9,#REF!,95,FALSE),"")</f>
        <v/>
      </c>
      <c r="AC61" s="188" t="str">
        <f>IFERROR(VLOOKUP(AC$9,#REF!,95,FALSE),"")</f>
        <v/>
      </c>
      <c r="AD61" s="188" t="str">
        <f>IFERROR(VLOOKUP(AD$9,#REF!,95,FALSE),"")</f>
        <v/>
      </c>
      <c r="AE61" s="188" t="str">
        <f>IFERROR(VLOOKUP(AE$9,#REF!,95,FALSE),"")</f>
        <v/>
      </c>
      <c r="AF61" s="188" t="str">
        <f>IFERROR(VLOOKUP(AF$9,#REF!,95,FALSE),"")</f>
        <v/>
      </c>
      <c r="AG61" s="193" t="e">
        <f>#REF!</f>
        <v>#REF!</v>
      </c>
      <c r="AH61" s="194"/>
    </row>
    <row r="62" spans="1:34" ht="11.1" customHeight="1">
      <c r="A62" s="207">
        <v>47</v>
      </c>
      <c r="B62" s="184" t="s">
        <v>72</v>
      </c>
      <c r="C62" s="217" t="s">
        <v>75</v>
      </c>
      <c r="D62" s="191">
        <f>IF(cnt_藤岡北部第１!$BF$5=0,"",演算タグ!D62)</f>
        <v>7.1</v>
      </c>
      <c r="E62" s="191">
        <f>IF(cnt_西市野々!$BF$5=0,"",演算タグ!F62)</f>
        <v>7.1</v>
      </c>
      <c r="F62" s="191">
        <f>IF(cnt_藤岡北部第２!$BF$5=0,"",演算タグ!H62)</f>
        <v>7.1</v>
      </c>
      <c r="G62" s="191">
        <f>IF(cnt_石畳!$BF$5=0,"",演算タグ!J62)</f>
        <v>7.1</v>
      </c>
      <c r="H62" s="191">
        <f>IF(cnt_木瀬浄水!$BF$5=0,"",演算タグ!L62)</f>
        <v>6.8</v>
      </c>
      <c r="I62" s="191">
        <f>IF(cnt_木瀬児童!$BF$5=0,"",演算タグ!N62)</f>
        <v>6.9</v>
      </c>
      <c r="J62" s="191">
        <f>IF(cnt_西中山送配水!$BF$5=0,"",演算タグ!P62)</f>
        <v>7.1</v>
      </c>
      <c r="K62" s="191">
        <f>IF(cnt_西中山水質!$BF$5=0,"",演算タグ!R62)</f>
        <v>7</v>
      </c>
      <c r="L62" s="191">
        <f>IF(cnt_上川口!$BF$5=0,"",演算タグ!T62)</f>
        <v>7.1</v>
      </c>
      <c r="M62" s="191">
        <f>IF(cnt_折平!$BF$5=0,"",演算タグ!V62)</f>
        <v>7.2</v>
      </c>
      <c r="N62" s="190"/>
      <c r="O62" s="191"/>
      <c r="P62" s="187" t="str">
        <f>IFERROR(VLOOKUP(P$9,#REF!,99,FALSE),"")</f>
        <v/>
      </c>
      <c r="Q62" s="188" t="str">
        <f>IFERROR(VLOOKUP(Q$9,#REF!,99,FALSE),"")</f>
        <v/>
      </c>
      <c r="R62" s="188" t="str">
        <f>IFERROR(VLOOKUP(R$9,#REF!,99,FALSE),"")</f>
        <v/>
      </c>
      <c r="S62" s="188" t="str">
        <f>IFERROR(VLOOKUP(S$9,#REF!,99,FALSE),"")</f>
        <v/>
      </c>
      <c r="T62" s="188" t="str">
        <f>IFERROR(VLOOKUP(T$9,#REF!,99,FALSE),"")</f>
        <v/>
      </c>
      <c r="U62" s="188" t="str">
        <f>IFERROR(VLOOKUP(U$9,#REF!,99,FALSE),"")</f>
        <v/>
      </c>
      <c r="V62" s="188" t="str">
        <f>IFERROR(VLOOKUP(V$9,#REF!,99,FALSE),"")</f>
        <v/>
      </c>
      <c r="W62" s="188" t="str">
        <f>IFERROR(VLOOKUP(W$9,#REF!,99,FALSE),"")</f>
        <v/>
      </c>
      <c r="X62" s="188" t="str">
        <f>IFERROR(VLOOKUP(X$9,#REF!,99,FALSE),"")</f>
        <v/>
      </c>
      <c r="Y62" s="188" t="str">
        <f>IFERROR(VLOOKUP(Y$9,#REF!,99,FALSE),"")</f>
        <v/>
      </c>
      <c r="Z62" s="188" t="str">
        <f>IFERROR(VLOOKUP(Z$9,#REF!,99,FALSE),"")</f>
        <v/>
      </c>
      <c r="AA62" s="188" t="str">
        <f>IFERROR(VLOOKUP(ACL$9,#REF!,99,FALSE),"")</f>
        <v/>
      </c>
      <c r="AB62" s="188" t="str">
        <f>IFERROR(VLOOKUP(AB$9,#REF!,99,FALSE),"")</f>
        <v/>
      </c>
      <c r="AC62" s="188" t="str">
        <f>IFERROR(VLOOKUP(AC$9,#REF!,99,FALSE),"")</f>
        <v/>
      </c>
      <c r="AD62" s="188" t="str">
        <f>IFERROR(VLOOKUP(AD$9,#REF!,99,FALSE),"")</f>
        <v/>
      </c>
      <c r="AE62" s="188" t="str">
        <f>IFERROR(VLOOKUP(AE$9,#REF!,99,FALSE),"")</f>
        <v/>
      </c>
      <c r="AF62" s="188" t="str">
        <f>IFERROR(VLOOKUP(AF$9,#REF!,99,FALSE),"")</f>
        <v/>
      </c>
      <c r="AG62" s="193" t="e">
        <f>#REF!</f>
        <v>#REF!</v>
      </c>
      <c r="AH62" s="194"/>
    </row>
    <row r="63" spans="1:34" ht="11.1" customHeight="1">
      <c r="A63" s="207">
        <v>48</v>
      </c>
      <c r="B63" s="184" t="s">
        <v>33</v>
      </c>
      <c r="C63" s="217" t="s">
        <v>75</v>
      </c>
      <c r="D63" s="188" t="str">
        <f>IF(OR(cnt_藤岡北部第１!$BH$5=0,演算タグ!D63=""),"",IF(演算タグ!D63=1,"異常なし","異常あり"))</f>
        <v>異常なし</v>
      </c>
      <c r="E63" s="188" t="str">
        <f>IF(OR(cnt_西市野々!$BH$5=0,演算タグ!F63=""),"",IF(演算タグ!F63=1,"異常なし","異常あり"))</f>
        <v>異常なし</v>
      </c>
      <c r="F63" s="188" t="str">
        <f>IF(OR(cnt_藤岡北部第２!$BH$5=0,演算タグ!H63=""),"",IF(演算タグ!H63=1,"異常なし","異常あり"))</f>
        <v>異常なし</v>
      </c>
      <c r="G63" s="188" t="str">
        <f>IF(OR(cnt_石畳!$BH$5=0,演算タグ!J63=""),"",IF(演算タグ!J63=1,"異常なし","異常あり"))</f>
        <v>異常なし</v>
      </c>
      <c r="H63" s="188" t="str">
        <f>IF(OR(cnt_木瀬浄水!$BH$5=0,演算タグ!L63=""),"",IF(演算タグ!L63=1,"異常なし","異常あり"))</f>
        <v>異常なし</v>
      </c>
      <c r="I63" s="188" t="str">
        <f>IF(OR(cnt_木瀬児童!$BH$5=0,演算タグ!N63=""),"",IF(演算タグ!N63=1,"異常なし","異常あり"))</f>
        <v>異常なし</v>
      </c>
      <c r="J63" s="188" t="str">
        <f>IF(OR(cnt_西中山送配水!$BH$5=0,演算タグ!P63=""),"",IF(演算タグ!P63=1,"異常なし","異常あり"))</f>
        <v>異常なし</v>
      </c>
      <c r="K63" s="188" t="str">
        <f>IF(OR(cnt_西中山水質!$BH$5=0,演算タグ!R63=""),"",IF(演算タグ!R63=1,"異常なし","異常あり"))</f>
        <v>異常なし</v>
      </c>
      <c r="L63" s="188" t="str">
        <f>IF(OR(cnt_上川口!$BH$5=0,演算タグ!T63=""),"",IF(演算タグ!T63=1,"異常なし","異常あり"))</f>
        <v>異常なし</v>
      </c>
      <c r="M63" s="188" t="str">
        <f>IF(OR(cnt_折平!$BH$5=0,演算タグ!V63=""),"",IF(演算タグ!V63=1,"異常なし","異常あり"))</f>
        <v>異常なし</v>
      </c>
      <c r="N63" s="187"/>
      <c r="O63" s="188"/>
      <c r="P63" s="187" t="str">
        <f>IFERROR(VLOOKUP(P$9,#REF!,101,FALSE),"")</f>
        <v/>
      </c>
      <c r="Q63" s="188" t="str">
        <f>IFERROR(VLOOKUP(Q$9,#REF!,101,FALSE),"")</f>
        <v/>
      </c>
      <c r="R63" s="188" t="str">
        <f>IFERROR(VLOOKUP(R$9,#REF!,101,FALSE),"")</f>
        <v/>
      </c>
      <c r="S63" s="188" t="str">
        <f>IFERROR(VLOOKUP(S$9,#REF!,101,FALSE),"")</f>
        <v/>
      </c>
      <c r="T63" s="188" t="str">
        <f>IFERROR(VLOOKUP(T$9,#REF!,101,FALSE),"")</f>
        <v/>
      </c>
      <c r="U63" s="188" t="str">
        <f>IFERROR(VLOOKUP(U$9,#REF!,101,FALSE),"")</f>
        <v/>
      </c>
      <c r="V63" s="188" t="str">
        <f>IFERROR(VLOOKUP(V$9,#REF!,101,FALSE),"")</f>
        <v/>
      </c>
      <c r="W63" s="188" t="str">
        <f>IFERROR(VLOOKUP(W$9,#REF!,101,FALSE),"")</f>
        <v/>
      </c>
      <c r="X63" s="188" t="str">
        <f>IFERROR(VLOOKUP(X$9,#REF!,101,FALSE),"")</f>
        <v/>
      </c>
      <c r="Y63" s="188" t="str">
        <f>IFERROR(VLOOKUP(Y$9,#REF!,101,FALSE),"")</f>
        <v/>
      </c>
      <c r="Z63" s="188" t="str">
        <f>IFERROR(VLOOKUP(Z$9,#REF!,101,FALSE),"")</f>
        <v/>
      </c>
      <c r="AA63" s="188" t="str">
        <f>IFERROR(VLOOKUP(ACL$9,#REF!,101,FALSE),"")</f>
        <v/>
      </c>
      <c r="AB63" s="188" t="str">
        <f>IFERROR(VLOOKUP(AB$9,#REF!,101,FALSE),"")</f>
        <v/>
      </c>
      <c r="AC63" s="188" t="str">
        <f>IFERROR(VLOOKUP(AC$9,#REF!,101,FALSE),"")</f>
        <v/>
      </c>
      <c r="AD63" s="188" t="str">
        <f>IFERROR(VLOOKUP(AD$9,#REF!,101,FALSE),"")</f>
        <v/>
      </c>
      <c r="AE63" s="188" t="str">
        <f>IFERROR(VLOOKUP(AE$9,#REF!,101,FALSE),"")</f>
        <v/>
      </c>
      <c r="AF63" s="188" t="str">
        <f>IFERROR(VLOOKUP(AF$9,#REF!,101,FALSE),"")</f>
        <v/>
      </c>
      <c r="AG63" s="208"/>
      <c r="AH63" s="194"/>
    </row>
    <row r="64" spans="1:34" ht="11.1" customHeight="1">
      <c r="A64" s="207">
        <v>49</v>
      </c>
      <c r="B64" s="184" t="s">
        <v>41</v>
      </c>
      <c r="C64" s="217" t="s">
        <v>75</v>
      </c>
      <c r="D64" s="188" t="str">
        <f>IF(OR(cnt_藤岡北部第１!$BG$5=0,演算タグ!D64=""),"",VLOOKUP(演算タグ!D64,変換!$F$1:$G$13,2,FALSE))</f>
        <v>異常なし</v>
      </c>
      <c r="E64" s="188" t="str">
        <f>IF(OR(cnt_西市野々!$BG$5=0,演算タグ!F64=""),"",VLOOKUP(演算タグ!F64,変換!$F$1:$G$13,2,FALSE))</f>
        <v>異常なし</v>
      </c>
      <c r="F64" s="188" t="str">
        <f>IF(OR(cnt_藤岡北部第２!$BG$5=0,演算タグ!H64=""),"",VLOOKUP(演算タグ!H64,変換!$F$1:$G$13,2,FALSE))</f>
        <v>異常なし</v>
      </c>
      <c r="G64" s="188" t="str">
        <f>IF(OR(cnt_石畳!$BG$5=0,演算タグ!J64=""),"",VLOOKUP(演算タグ!J64,変換!$F$1:$G$13,2,FALSE))</f>
        <v>異常なし</v>
      </c>
      <c r="H64" s="188" t="str">
        <f>IF(OR(cnt_木瀬浄水!$BG$5=0,演算タグ!L64=""),"",VLOOKUP(演算タグ!L64,変換!$F$1:$G$13,2,FALSE))</f>
        <v>異常なし</v>
      </c>
      <c r="I64" s="188" t="str">
        <f>IF(OR(cnt_木瀬児童!$BG$5=0,演算タグ!N64=""),"",VLOOKUP(演算タグ!N64,変換!$F$1:$G$13,2,FALSE))</f>
        <v>異常なし</v>
      </c>
      <c r="J64" s="188" t="str">
        <f>IF(OR(cnt_西中山送配水!$BG$5=0,演算タグ!P64=""),"",VLOOKUP(演算タグ!P64,変換!$F$1:$G$13,2,FALSE))</f>
        <v>異常なし</v>
      </c>
      <c r="K64" s="188" t="str">
        <f>IF(OR(cnt_西中山水質!$BG$5=0,演算タグ!R64=""),"",VLOOKUP(演算タグ!R64,変換!$F$1:$G$13,2,FALSE))</f>
        <v>異常なし</v>
      </c>
      <c r="L64" s="188" t="str">
        <f>IF(OR(cnt_上川口!$BG$5=0,演算タグ!T64=""),"",VLOOKUP(演算タグ!T64,変換!$F$1:$G$13,2,FALSE))</f>
        <v>異常なし</v>
      </c>
      <c r="M64" s="188" t="str">
        <f>IF(OR(cnt_折平!$BG$5=0,演算タグ!V64=""),"",VLOOKUP(演算タグ!V64,変換!$F$1:$G$13,2,FALSE))</f>
        <v>異常なし</v>
      </c>
      <c r="N64" s="187"/>
      <c r="O64" s="188"/>
      <c r="P64" s="187" t="str">
        <f>IFERROR(VLOOKUP(P$9,#REF!,100,FALSE),"")</f>
        <v/>
      </c>
      <c r="Q64" s="188" t="str">
        <f>IFERROR(VLOOKUP(Q$9,#REF!,100,FALSE),"")</f>
        <v/>
      </c>
      <c r="R64" s="188" t="str">
        <f>IFERROR(VLOOKUP(R$9,#REF!,100,FALSE),"")</f>
        <v/>
      </c>
      <c r="S64" s="188" t="str">
        <f>IFERROR(VLOOKUP(S$9,#REF!,100,FALSE),"")</f>
        <v/>
      </c>
      <c r="T64" s="188" t="str">
        <f>IFERROR(VLOOKUP(T$9,#REF!,100,FALSE),"")</f>
        <v/>
      </c>
      <c r="U64" s="188" t="str">
        <f>IFERROR(VLOOKUP(U$9,#REF!,100,FALSE),"")</f>
        <v/>
      </c>
      <c r="V64" s="188" t="str">
        <f>IFERROR(VLOOKUP(V$9,#REF!,100,FALSE),"")</f>
        <v/>
      </c>
      <c r="W64" s="188" t="str">
        <f>IFERROR(VLOOKUP(W$9,#REF!,100,FALSE),"")</f>
        <v/>
      </c>
      <c r="X64" s="188" t="str">
        <f>IFERROR(VLOOKUP(X$9,#REF!,100,FALSE),"")</f>
        <v/>
      </c>
      <c r="Y64" s="188" t="str">
        <f>IFERROR(VLOOKUP(Y$9,#REF!,100,FALSE),"")</f>
        <v/>
      </c>
      <c r="Z64" s="188" t="str">
        <f>IFERROR(VLOOKUP(Z$9,#REF!,100,FALSE),"")</f>
        <v/>
      </c>
      <c r="AA64" s="188" t="str">
        <f>IFERROR(VLOOKUP(ACL$9,#REF!,100,FALSE),"")</f>
        <v/>
      </c>
      <c r="AB64" s="188" t="str">
        <f>IFERROR(VLOOKUP(AB$9,#REF!,100,FALSE),"")</f>
        <v/>
      </c>
      <c r="AC64" s="188" t="str">
        <f>IFERROR(VLOOKUP(AC$9,#REF!,100,FALSE),"")</f>
        <v/>
      </c>
      <c r="AD64" s="188" t="str">
        <f>IFERROR(VLOOKUP(AD$9,#REF!,100,FALSE),"")</f>
        <v/>
      </c>
      <c r="AE64" s="188" t="str">
        <f>IFERROR(VLOOKUP(AE$9,#REF!,100,FALSE),"")</f>
        <v/>
      </c>
      <c r="AF64" s="188" t="str">
        <f>IFERROR(VLOOKUP(AF$9,#REF!,100,FALSE),"")</f>
        <v/>
      </c>
      <c r="AG64" s="208"/>
      <c r="AH64" s="194"/>
    </row>
    <row r="65" spans="1:34" ht="11.1" customHeight="1">
      <c r="A65" s="207">
        <v>50</v>
      </c>
      <c r="B65" s="184" t="s">
        <v>42</v>
      </c>
      <c r="C65" s="209" t="s">
        <v>79</v>
      </c>
      <c r="D65" s="191" t="str">
        <f>IF(cnt_藤岡北部第１!$BD$5=0,"",IF(演算タグ!D65&lt;0.5,"0.5未満",演算タグ!D65))</f>
        <v>0.5未満</v>
      </c>
      <c r="E65" s="191" t="str">
        <f>IF(cnt_西市野々!$BD$5=0,"",IF(演算タグ!F65&lt;0.5,"0.5未満",演算タグ!F65))</f>
        <v>0.5未満</v>
      </c>
      <c r="F65" s="191" t="str">
        <f>IF(cnt_藤岡北部第２!$BD$5=0,"",IF(演算タグ!H65&lt;0.5,"0.5未満",演算タグ!H65))</f>
        <v>0.5未満</v>
      </c>
      <c r="G65" s="191" t="str">
        <f>IF(cnt_石畳!$BD$5=0,"",IF(演算タグ!J65&lt;0.5,"0.5未満",演算タグ!J65))</f>
        <v>0.5未満</v>
      </c>
      <c r="H65" s="191" t="str">
        <f>IF(cnt_木瀬浄水!$BD$5=0,"",IF(演算タグ!L65&lt;0.5,"0.5未満",演算タグ!L65))</f>
        <v>0.5未満</v>
      </c>
      <c r="I65" s="191" t="str">
        <f>IF(cnt_木瀬児童!$BD$5=0,"",IF(演算タグ!N65&lt;0.5,"0.5未満",演算タグ!N65))</f>
        <v>0.5未満</v>
      </c>
      <c r="J65" s="191" t="str">
        <f>IF(cnt_西中山送配水!$BD$5=0,"",IF(演算タグ!P65&lt;0.5,"0.5未満",演算タグ!P65))</f>
        <v>0.5未満</v>
      </c>
      <c r="K65" s="191" t="str">
        <f>IF(cnt_西中山水質!$BD$5=0,"",IF(演算タグ!R65&lt;0.5,"0.5未満",演算タグ!R65))</f>
        <v>0.5未満</v>
      </c>
      <c r="L65" s="191" t="str">
        <f>IF(cnt_上川口!$BD$5=0,"",IF(演算タグ!T65&lt;0.5,"0.5未満",演算タグ!T65))</f>
        <v>0.5未満</v>
      </c>
      <c r="M65" s="191" t="str">
        <f>IF(cnt_折平!$BD$5=0,"",IF(演算タグ!V65&lt;0.5,"0.5未満",演算タグ!V65))</f>
        <v>0.5未満</v>
      </c>
      <c r="N65" s="190"/>
      <c r="O65" s="191"/>
      <c r="P65" s="187" t="str">
        <f>IFERROR(VLOOKUP(P$9,#REF!,97,FALSE),"")</f>
        <v/>
      </c>
      <c r="Q65" s="188" t="str">
        <f>IFERROR(VLOOKUP(Q$9,#REF!,97,FALSE),"")</f>
        <v/>
      </c>
      <c r="R65" s="188" t="str">
        <f>IFERROR(VLOOKUP(R$9,#REF!,97,FALSE),"")</f>
        <v/>
      </c>
      <c r="S65" s="188" t="str">
        <f>IFERROR(VLOOKUP(S$9,#REF!,97,FALSE),"")</f>
        <v/>
      </c>
      <c r="T65" s="188" t="str">
        <f>IFERROR(VLOOKUP(T$9,#REF!,97,FALSE),"")</f>
        <v/>
      </c>
      <c r="U65" s="188" t="str">
        <f>IFERROR(VLOOKUP(U$9,#REF!,97,FALSE),"")</f>
        <v/>
      </c>
      <c r="V65" s="188" t="str">
        <f>IFERROR(VLOOKUP(V$9,#REF!,97,FALSE),"")</f>
        <v/>
      </c>
      <c r="W65" s="188" t="str">
        <f>IFERROR(VLOOKUP(W$9,#REF!,97,FALSE),"")</f>
        <v/>
      </c>
      <c r="X65" s="188" t="str">
        <f>IFERROR(VLOOKUP(X$9,#REF!,97,FALSE),"")</f>
        <v/>
      </c>
      <c r="Y65" s="188" t="str">
        <f>IFERROR(VLOOKUP(Y$9,#REF!,97,FALSE),"")</f>
        <v/>
      </c>
      <c r="Z65" s="188" t="str">
        <f>IFERROR(VLOOKUP(Z$9,#REF!,97,FALSE),"")</f>
        <v/>
      </c>
      <c r="AA65" s="188" t="str">
        <f>IFERROR(VLOOKUP(ACL$9,#REF!,97,FALSE),"")</f>
        <v/>
      </c>
      <c r="AB65" s="188" t="str">
        <f>IFERROR(VLOOKUP(AB$9,#REF!,97,FALSE),"")</f>
        <v/>
      </c>
      <c r="AC65" s="188" t="str">
        <f>IFERROR(VLOOKUP(AC$9,#REF!,97,FALSE),"")</f>
        <v/>
      </c>
      <c r="AD65" s="188" t="str">
        <f>IFERROR(VLOOKUP(AD$9,#REF!,97,FALSE),"")</f>
        <v/>
      </c>
      <c r="AE65" s="188" t="str">
        <f>IFERROR(VLOOKUP(AE$9,#REF!,97,FALSE),"")</f>
        <v/>
      </c>
      <c r="AF65" s="188" t="str">
        <f>IFERROR(VLOOKUP(AF$9,#REF!,97,FALSE),"")</f>
        <v/>
      </c>
      <c r="AG65" s="193" t="e">
        <f>#REF!</f>
        <v>#REF!</v>
      </c>
      <c r="AH65" s="194"/>
    </row>
    <row r="66" spans="1:34" ht="11.1" customHeight="1" thickBot="1">
      <c r="A66" s="218">
        <v>51</v>
      </c>
      <c r="B66" s="219" t="s">
        <v>43</v>
      </c>
      <c r="C66" s="220" t="s">
        <v>79</v>
      </c>
      <c r="D66" s="221" t="str">
        <f>IF(cnt_藤岡北部第１!$BE$5=0,"",IF(演算タグ!D66&lt;0.1,"0.1未満",演算タグ!D66))</f>
        <v>0.1未満</v>
      </c>
      <c r="E66" s="221" t="str">
        <f>IF(cnt_西市野々!$BE$5=0,"",IF(演算タグ!F66&lt;0.1,"0.1未満",演算タグ!F66))</f>
        <v>0.1未満</v>
      </c>
      <c r="F66" s="221" t="str">
        <f>IF(cnt_藤岡北部第２!$BE$5=0,"",IF(演算タグ!H66&lt;0.1,"0.1未満",演算タグ!H66))</f>
        <v>0.1未満</v>
      </c>
      <c r="G66" s="221" t="str">
        <f>IF(cnt_石畳!$BE$5=0,"",IF(演算タグ!J66&lt;0.1,"0.1未満",演算タグ!J66))</f>
        <v>0.1未満</v>
      </c>
      <c r="H66" s="221" t="str">
        <f>IF(cnt_木瀬浄水!$BE$5=0,"",IF(演算タグ!L66&lt;0.1,"0.1未満",演算タグ!L66))</f>
        <v>0.1未満</v>
      </c>
      <c r="I66" s="221" t="str">
        <f>IF(cnt_木瀬児童!$BE$5=0,"",IF(演算タグ!N66&lt;0.1,"0.1未満",演算タグ!N66))</f>
        <v>0.1未満</v>
      </c>
      <c r="J66" s="221" t="str">
        <f>IF(cnt_西中山送配水!$BE$5=0,"",IF(演算タグ!P66&lt;0.1,"0.1未満",演算タグ!P66))</f>
        <v>0.1未満</v>
      </c>
      <c r="K66" s="221" t="str">
        <f>IF(cnt_西中山水質!$BE$5=0,"",IF(演算タグ!R66&lt;0.1,"0.1未満",演算タグ!R66))</f>
        <v>0.1未満</v>
      </c>
      <c r="L66" s="221" t="str">
        <f>IF(cnt_上川口!$BE$5=0,"",IF(演算タグ!T66&lt;0.1,"0.1未満",演算タグ!T66))</f>
        <v>0.1未満</v>
      </c>
      <c r="M66" s="221" t="str">
        <f>IF(cnt_折平!$BE$5=0,"",IF(演算タグ!V66&lt;0.1,"0.1未満",演算タグ!V66))</f>
        <v>0.1未満</v>
      </c>
      <c r="N66" s="258"/>
      <c r="O66" s="221"/>
      <c r="P66" s="187" t="str">
        <f>IFERROR(VLOOKUP(P$9,#REF!,98,FALSE),"")</f>
        <v/>
      </c>
      <c r="Q66" s="188" t="str">
        <f>IFERROR(VLOOKUP(Q$9,#REF!,98,FALSE),"")</f>
        <v/>
      </c>
      <c r="R66" s="188" t="str">
        <f>IFERROR(VLOOKUP(R$9,#REF!,98,FALSE),"")</f>
        <v/>
      </c>
      <c r="S66" s="188" t="str">
        <f>IFERROR(VLOOKUP(S$9,#REF!,98,FALSE),"")</f>
        <v/>
      </c>
      <c r="T66" s="188" t="str">
        <f>IFERROR(VLOOKUP(T$9,#REF!,98,FALSE),"")</f>
        <v/>
      </c>
      <c r="U66" s="188" t="str">
        <f>IFERROR(VLOOKUP(U$9,#REF!,98,FALSE),"")</f>
        <v/>
      </c>
      <c r="V66" s="188" t="str">
        <f>IFERROR(VLOOKUP(V$9,#REF!,98,FALSE),"")</f>
        <v/>
      </c>
      <c r="W66" s="188" t="str">
        <f>IFERROR(VLOOKUP(W$9,#REF!,98,FALSE),"")</f>
        <v/>
      </c>
      <c r="X66" s="188" t="str">
        <f>IFERROR(VLOOKUP(X$9,#REF!,98,FALSE),"")</f>
        <v/>
      </c>
      <c r="Y66" s="188" t="str">
        <f>IFERROR(VLOOKUP(Y$9,#REF!,98,FALSE),"")</f>
        <v/>
      </c>
      <c r="Z66" s="188" t="str">
        <f>IFERROR(VLOOKUP(Z$9,#REF!,98,FALSE),"")</f>
        <v/>
      </c>
      <c r="AA66" s="188" t="str">
        <f>IFERROR(VLOOKUP(ACL$9,#REF!,98,FALSE),"")</f>
        <v/>
      </c>
      <c r="AB66" s="188" t="str">
        <f>IFERROR(VLOOKUP(AB$9,#REF!,98,FALSE),"")</f>
        <v/>
      </c>
      <c r="AC66" s="188" t="str">
        <f>IFERROR(VLOOKUP(AC$9,#REF!,98,FALSE),"")</f>
        <v/>
      </c>
      <c r="AD66" s="188" t="str">
        <f>IFERROR(VLOOKUP(AD$9,#REF!,98,FALSE),"")</f>
        <v/>
      </c>
      <c r="AE66" s="188" t="str">
        <f>IFERROR(VLOOKUP(AE$9,#REF!,98,FALSE),"")</f>
        <v/>
      </c>
      <c r="AF66" s="188" t="str">
        <f>IFERROR(VLOOKUP(AF$9,#REF!,98,FALSE),"")</f>
        <v/>
      </c>
      <c r="AG66" s="193" t="e">
        <f>#REF!</f>
        <v>#REF!</v>
      </c>
      <c r="AH66" s="194"/>
    </row>
    <row r="67" spans="1:34" ht="11.1" customHeight="1" thickBot="1">
      <c r="B67" s="222"/>
      <c r="C67" s="159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187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93"/>
      <c r="AH67" s="194"/>
    </row>
    <row r="68" spans="1:34" ht="11.1" customHeight="1" thickTop="1">
      <c r="A68" s="288">
        <f>EDATE(演算タグ!B1,-3)</f>
        <v>45748</v>
      </c>
      <c r="B68" s="288"/>
      <c r="C68" s="289">
        <f>演算タグ!B1</f>
        <v>45839</v>
      </c>
      <c r="D68" s="289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4"/>
      <c r="Q68" s="187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225"/>
      <c r="AH68" s="158"/>
    </row>
    <row r="69" spans="1:34" ht="11.1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187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93"/>
      <c r="AH69" s="194"/>
    </row>
    <row r="70" spans="1:34" ht="11.1" customHeight="1">
      <c r="A70" s="204">
        <v>1</v>
      </c>
      <c r="B70" s="231" t="s">
        <v>61</v>
      </c>
      <c r="C70" s="205" t="s">
        <v>78</v>
      </c>
      <c r="D70" s="212" t="str">
        <f>IF(cnt_藤岡北部第１!$O$5=0,"",IF(演算タグ!E70&lt;0.001,"0.001未満",演算タグ!E70))</f>
        <v/>
      </c>
      <c r="E70" s="212" t="str">
        <f>IF(cnt_西市野々!$O$5=0,"",IF(演算タグ!G70&lt;0.001,"0.001未満",演算タグ!G70))</f>
        <v/>
      </c>
      <c r="F70" s="212" t="str">
        <f>IF(cnt_藤岡北部第２!$O$5=0,"",IF(演算タグ!I70&lt;0.001,"0.001未満",演算タグ!I70))</f>
        <v/>
      </c>
      <c r="G70" s="212" t="str">
        <f>IF(cnt_石畳!$O$5=0,"",IF(演算タグ!K70&lt;0.001,"0.001未満",演算タグ!K70))</f>
        <v/>
      </c>
      <c r="H70" s="212" t="str">
        <f>IF(cnt_木瀬浄水!$O$5=0,"",IF(演算タグ!M70&lt;0.001,"0.001未満",演算タグ!M70))</f>
        <v/>
      </c>
      <c r="I70" s="212" t="str">
        <f>IF(cnt_木瀬児童!$O$5=0,"",IF(演算タグ!O70&lt;0.001,"0.001未満",演算タグ!O70))</f>
        <v/>
      </c>
      <c r="J70" s="212" t="str">
        <f>IF(cnt_西中山送配水!$O$5=0,"",IF(演算タグ!Q70&lt;0.001,"0.001未満",演算タグ!Q70))</f>
        <v/>
      </c>
      <c r="K70" s="212" t="str">
        <f>IF(cnt_西中山水質!$O$5=0,"",IF(演算タグ!S70&lt;0.001,"0.001未満",演算タグ!S70))</f>
        <v/>
      </c>
      <c r="L70" s="212" t="str">
        <f>IF(cnt_上川口!$O$5=0,"",IF(演算タグ!U70&lt;0.001,"0.001未満",演算タグ!U70))</f>
        <v/>
      </c>
      <c r="M70" s="212" t="str">
        <f>IF(cnt_折平!$O$5=0,"",IF(演算タグ!W70&lt;0.001,"0.001未満",演算タグ!W70))</f>
        <v/>
      </c>
      <c r="N70" s="255"/>
      <c r="O70" s="212"/>
      <c r="P70" s="187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2"/>
    </row>
    <row r="71" spans="1:34" ht="11.1" customHeight="1">
      <c r="A71" s="207">
        <v>2</v>
      </c>
      <c r="B71" s="232" t="s">
        <v>62</v>
      </c>
      <c r="C71" s="209" t="s">
        <v>78</v>
      </c>
      <c r="D71" s="210" t="str">
        <f>IF(cnt_藤岡北部第１!$P$5=0,"",IF(演算タグ!E71&lt;0.0002,"0.0002未満",演算タグ!E71))</f>
        <v/>
      </c>
      <c r="E71" s="210" t="str">
        <f>IF(cnt_西市野々!$P$5=0,"",IF(演算タグ!G71&lt;0.0002,"0.0002未満",演算タグ!G71))</f>
        <v/>
      </c>
      <c r="F71" s="210" t="str">
        <f>IF(cnt_藤岡北部第２!$P$5=0,"",IF(演算タグ!I71&lt;0.0002,"0.0002未満",演算タグ!I71))</f>
        <v/>
      </c>
      <c r="G71" s="210" t="str">
        <f>IF(cnt_石畳!$P$5=0,"",IF(演算タグ!K71&lt;0.0002,"0.0002未満",演算タグ!K71))</f>
        <v/>
      </c>
      <c r="H71" s="210" t="str">
        <f>IF(cnt_木瀬浄水!$P$5=0,"",IF(演算タグ!M71&lt;0.0002,"0.0002未満",演算タグ!M71))</f>
        <v/>
      </c>
      <c r="I71" s="210" t="str">
        <f>IF(cnt_木瀬児童!$P$5=0,"",IF(演算タグ!O71&lt;0.0002,"0.0002未満",演算タグ!O71))</f>
        <v/>
      </c>
      <c r="J71" s="210" t="str">
        <f>IF(cnt_西中山送配水!$P$5=0,"",IF(演算タグ!Q71&lt;0.0002,"0.0002未満",演算タグ!Q71))</f>
        <v/>
      </c>
      <c r="K71" s="210" t="str">
        <f>IF(cnt_西中山水質!$P$5=0,"",IF(演算タグ!S71&lt;0.0002,"0.0002未満",演算タグ!S71))</f>
        <v/>
      </c>
      <c r="L71" s="210" t="str">
        <f>IF(cnt_上川口!$P$5=0,"",IF(演算タグ!U71&lt;0.0002,"0.0002未満",演算タグ!U71))</f>
        <v/>
      </c>
      <c r="M71" s="210" t="str">
        <f>IF(cnt_折平!$P$5=0,"",IF(演算タグ!W71&lt;0.0002,"0.0002未満",演算タグ!W71))</f>
        <v/>
      </c>
      <c r="N71" s="253"/>
      <c r="O71" s="210"/>
      <c r="P71" s="187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2"/>
    </row>
    <row r="72" spans="1:34" ht="11.1" customHeight="1">
      <c r="A72" s="207">
        <v>3</v>
      </c>
      <c r="B72" s="232" t="s">
        <v>63</v>
      </c>
      <c r="C72" s="209" t="s">
        <v>78</v>
      </c>
      <c r="D72" s="212" t="str">
        <f>IF(cnt_藤岡北部第１!$Q$5=0,"",IF(演算タグ!E72&lt;0.001,"0.001未満",演算タグ!E72))</f>
        <v/>
      </c>
      <c r="E72" s="212" t="str">
        <f>IF(cnt_西市野々!$Q$5=0,"",IF(演算タグ!G72&lt;0.001,"0.001未満",演算タグ!G72))</f>
        <v/>
      </c>
      <c r="F72" s="212" t="str">
        <f>IF(cnt_藤岡北部第２!$Q$5=0,"",IF(演算タグ!I72&lt;0.001,"0.001未満",演算タグ!I72))</f>
        <v/>
      </c>
      <c r="G72" s="212" t="str">
        <f>IF(cnt_石畳!$Q$5=0,"",IF(演算タグ!K72&lt;0.001,"0.001未満",演算タグ!K72))</f>
        <v/>
      </c>
      <c r="H72" s="212" t="str">
        <f>IF(cnt_木瀬浄水!$Q$5=0,"",IF(演算タグ!M72&lt;0.001,"0.001未満",演算タグ!M72))</f>
        <v/>
      </c>
      <c r="I72" s="212" t="str">
        <f>IF(cnt_木瀬児童!$Q$5=0,"",IF(演算タグ!O72&lt;0.001,"0.001未満",演算タグ!O72))</f>
        <v/>
      </c>
      <c r="J72" s="212" t="str">
        <f>IF(cnt_西中山送配水!$Q$5=0,"",IF(演算タグ!Q72&lt;0.001,"0.001未満",演算タグ!Q72))</f>
        <v/>
      </c>
      <c r="K72" s="212" t="str">
        <f>IF(cnt_西中山水質!$Q$5=0,"",IF(演算タグ!S72&lt;0.001,"0.001未満",演算タグ!S72))</f>
        <v/>
      </c>
      <c r="L72" s="212" t="str">
        <f>IF(cnt_上川口!$Q$5=0,"",IF(演算タグ!U72&lt;0.001,"0.001未満",演算タグ!U72))</f>
        <v/>
      </c>
      <c r="M72" s="212" t="str">
        <f>IF(cnt_折平!$Q$5=0,"",IF(演算タグ!W72&lt;0.001,"0.001未満",演算タグ!W72))</f>
        <v/>
      </c>
      <c r="N72" s="255"/>
      <c r="O72" s="212"/>
      <c r="P72" s="187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2"/>
    </row>
    <row r="73" spans="1:34" ht="11.1" customHeight="1">
      <c r="A73" s="207">
        <v>4</v>
      </c>
      <c r="B73" s="232" t="s">
        <v>97</v>
      </c>
      <c r="C73" s="209" t="s">
        <v>78</v>
      </c>
      <c r="D73" s="210" t="str">
        <f>IF(cnt_藤岡北部第１!$AM$5=0,"",IF(演算タグ!E73&lt;0.0002,"0.0002未満",演算タグ!E73))</f>
        <v/>
      </c>
      <c r="E73" s="210" t="str">
        <f>IF(cnt_西市野々!$AM$5=0,"",IF(演算タグ!G73&lt;0.0002,"0.0002未満",演算タグ!G73))</f>
        <v/>
      </c>
      <c r="F73" s="210" t="str">
        <f>IF(cnt_藤岡北部第２!$AM$5=0,"",IF(演算タグ!I73&lt;0.0002,"0.0002未満",演算タグ!I73))</f>
        <v/>
      </c>
      <c r="G73" s="210" t="str">
        <f>IF(cnt_石畳!$AM$5=0,"",IF(演算タグ!K73&lt;0.0002,"0.0002未満",演算タグ!K73))</f>
        <v/>
      </c>
      <c r="H73" s="210" t="str">
        <f>IF(cnt_木瀬浄水!$AM$5=0,"",IF(演算タグ!M73&lt;0.0002,"0.0002未満",演算タグ!M73))</f>
        <v/>
      </c>
      <c r="I73" s="210" t="str">
        <f>IF(cnt_木瀬児童!$AM$5=0,"",IF(演算タグ!O73&lt;0.0002,"0.0002未満",演算タグ!O73))</f>
        <v/>
      </c>
      <c r="J73" s="210" t="str">
        <f>IF(cnt_西中山送配水!$AM$5=0,"",IF(演算タグ!Q73&lt;0.0002,"0.0002未満",演算タグ!Q73))</f>
        <v/>
      </c>
      <c r="K73" s="210" t="str">
        <f>IF(cnt_西中山水質!$AM$5=0,"",IF(演算タグ!S73&lt;0.0002,"0.0002未満",演算タグ!S73))</f>
        <v/>
      </c>
      <c r="L73" s="210" t="str">
        <f>IF(cnt_上川口!$AM$5=0,"",IF(演算タグ!U73&lt;0.0002,"0.0002未満",演算タグ!U73))</f>
        <v/>
      </c>
      <c r="M73" s="210" t="str">
        <f>IF(cnt_折平!$AM$5=0,"",IF(演算タグ!W73&lt;0.0002,"0.0002未満",演算タグ!W73))</f>
        <v/>
      </c>
      <c r="N73" s="253"/>
      <c r="O73" s="210"/>
      <c r="P73" s="187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2"/>
    </row>
    <row r="74" spans="1:34" ht="11.1" customHeight="1">
      <c r="A74" s="207">
        <v>5</v>
      </c>
      <c r="B74" s="232" t="s">
        <v>49</v>
      </c>
      <c r="C74" s="209" t="s">
        <v>78</v>
      </c>
      <c r="D74" s="212" t="str">
        <f>IF(cnt_藤岡北部第１!$AN$5=0,"",IF(演算タグ!E74&lt;0.001,"0.001未満",演算タグ!E74))</f>
        <v/>
      </c>
      <c r="E74" s="212" t="str">
        <f>IF(cnt_西市野々!$AN$5=0,"",IF(演算タグ!G74&lt;0.001,"0.001未満",演算タグ!G74))</f>
        <v/>
      </c>
      <c r="F74" s="212" t="str">
        <f>IF(cnt_藤岡北部第２!$AN$5=0,"",IF(演算タグ!I74&lt;0.001,"0.001未満",演算タグ!I74))</f>
        <v/>
      </c>
      <c r="G74" s="212" t="str">
        <f>IF(cnt_石畳!$AN$5=0,"",IF(演算タグ!K74&lt;0.001,"0.001未満",演算タグ!K74))</f>
        <v/>
      </c>
      <c r="H74" s="212" t="str">
        <f>IF(cnt_木瀬浄水!$AN$5=0,"",IF(演算タグ!M74&lt;0.001,"0.001未満",演算タグ!M74))</f>
        <v/>
      </c>
      <c r="I74" s="212" t="str">
        <f>IF(cnt_木瀬児童!$AN$5=0,"",IF(演算タグ!O74&lt;0.001,"0.001未満",演算タグ!O74))</f>
        <v/>
      </c>
      <c r="J74" s="212" t="str">
        <f>IF(cnt_西中山送配水!$AN$5=0,"",IF(演算タグ!Q74&lt;0.001,"0.001未満",演算タグ!Q74))</f>
        <v/>
      </c>
      <c r="K74" s="212" t="str">
        <f>IF(cnt_西中山水質!$AN$5=0,"",IF(演算タグ!S74&lt;0.001,"0.001未満",演算タグ!S74))</f>
        <v/>
      </c>
      <c r="L74" s="212" t="str">
        <f>IF(cnt_上川口!$AN$5=0,"",IF(演算タグ!U74&lt;0.001,"0.001未満",演算タグ!U74))</f>
        <v/>
      </c>
      <c r="M74" s="212" t="str">
        <f>IF(cnt_折平!$AN$5=0,"",IF(演算タグ!W74&lt;0.001,"0.001未満",演算タグ!W74))</f>
        <v/>
      </c>
      <c r="N74" s="255"/>
      <c r="O74" s="212"/>
      <c r="P74" s="187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2"/>
    </row>
    <row r="75" spans="1:34" ht="11.1" customHeight="1">
      <c r="A75" s="207">
        <v>6</v>
      </c>
      <c r="B75" s="232" t="s">
        <v>96</v>
      </c>
      <c r="C75" s="209" t="s">
        <v>78</v>
      </c>
      <c r="D75" s="212" t="str">
        <f>IF(cnt_藤岡北部第１!$BI$5=0,"",IF(演算タグ!E75&lt;0.008,"0.008未満",演算タグ!E75))</f>
        <v/>
      </c>
      <c r="E75" s="212" t="str">
        <f>IF(cnt_西市野々!$BI$5=0,"",IF(演算タグ!G75&lt;0.008,"0.008未満",演算タグ!G75))</f>
        <v/>
      </c>
      <c r="F75" s="212" t="str">
        <f>IF(cnt_藤岡北部第２!$BI$5=0,"",IF(演算タグ!I75&lt;0.008,"0.008未満",演算タグ!I75))</f>
        <v/>
      </c>
      <c r="G75" s="212" t="str">
        <f>IF(cnt_石畳!$BI$5=0,"",IF(演算タグ!K75&lt;0.008,"0.008未満",演算タグ!K75))</f>
        <v/>
      </c>
      <c r="H75" s="212" t="str">
        <f>IF(cnt_木瀬浄水!$BI$5=0,"",IF(演算タグ!M75&lt;0.008,"0.008未満",演算タグ!M75))</f>
        <v/>
      </c>
      <c r="I75" s="212" t="str">
        <f>IF(cnt_木瀬児童!$BI$5=0,"",IF(演算タグ!O75&lt;0.008,"0.008未満",演算タグ!O75))</f>
        <v/>
      </c>
      <c r="J75" s="212" t="str">
        <f>IF(cnt_西中山送配水!$BI$5=0,"",IF(演算タグ!Q75&lt;0.008,"0.008未満",演算タグ!Q75))</f>
        <v/>
      </c>
      <c r="K75" s="212" t="str">
        <f>IF(cnt_西中山水質!$BI$5=0,"",IF(演算タグ!S75&lt;0.008,"0.008未満",演算タグ!S75))</f>
        <v/>
      </c>
      <c r="L75" s="212" t="str">
        <f>IF(cnt_上川口!$BI$5=0,"",IF(演算タグ!U75&lt;0.008,"0.008未満",演算タグ!U75))</f>
        <v/>
      </c>
      <c r="M75" s="212" t="str">
        <f>IF(cnt_折平!$BI$5=0,"",IF(演算タグ!W75&lt;0.008,"0.008未満",演算タグ!W75))</f>
        <v/>
      </c>
      <c r="N75" s="255"/>
      <c r="O75" s="212"/>
      <c r="P75" s="187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2"/>
    </row>
    <row r="76" spans="1:34" ht="11.1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7"/>
      <c r="O76" s="188"/>
      <c r="P76" s="187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2"/>
    </row>
    <row r="77" spans="1:34" ht="11.1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7"/>
      <c r="O77" s="188"/>
      <c r="P77" s="187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2"/>
    </row>
    <row r="78" spans="1:34" ht="11.1" customHeight="1">
      <c r="A78" s="207">
        <v>9</v>
      </c>
      <c r="B78" s="232" t="s">
        <v>52</v>
      </c>
      <c r="C78" s="209" t="s">
        <v>78</v>
      </c>
      <c r="D78" s="212" t="str">
        <f>IF(cnt_藤岡北部第１!$BJ$5=0,"",IF(演算タグ!D78&lt;0.001,"0.001未満",演算タグ!D78))</f>
        <v/>
      </c>
      <c r="E78" s="212" t="str">
        <f>IF(cnt_西市野々!$BJ$5=0,"",IF(演算タグ!F78&lt;0.001,"0.001未満",演算タグ!F78))</f>
        <v/>
      </c>
      <c r="F78" s="212" t="str">
        <f>IF(cnt_藤岡北部第２!$BJ$5=0,"",IF(演算タグ!H78&lt;0.001,"0.001未満",演算タグ!H78))</f>
        <v/>
      </c>
      <c r="G78" s="212" t="str">
        <f>IF(cnt_石畳!$BJ$5=0,"",IF(演算タグ!J78&lt;0.001,"0.001未満",演算タグ!J78))</f>
        <v/>
      </c>
      <c r="H78" s="212" t="str">
        <f>IF(cnt_木瀬浄水!$BJ$5=0,"",IF(演算タグ!L78&lt;0.001,"0.001未満",演算タグ!L78))</f>
        <v/>
      </c>
      <c r="I78" s="212" t="str">
        <f>IF(cnt_木瀬児童!$BJ$5=0,"",IF(演算タグ!N78&lt;0.001,"0.001未満",演算タグ!N78))</f>
        <v/>
      </c>
      <c r="J78" s="212" t="str">
        <f>IF(cnt_西中山送配水!$BJ$5=0,"",IF(演算タグ!P78&lt;0.001,"0.001未満",演算タグ!P78))</f>
        <v/>
      </c>
      <c r="K78" s="212" t="str">
        <f>IF(cnt_西中山水質!$BJ$5=0,"",IF(演算タグ!R78&lt;0.001,"0.001未満",演算タグ!R78))</f>
        <v/>
      </c>
      <c r="L78" s="212" t="str">
        <f>IF(cnt_上川口!$BJ$5=0,"",IF(演算タグ!T78&lt;0.001,"0.001未満",演算タグ!T78))</f>
        <v/>
      </c>
      <c r="M78" s="212" t="str">
        <f>IF(cnt_折平!$BJ$5=0,"",IF(演算タグ!V78&lt;0.001,"0.001未満",演算タグ!V78))</f>
        <v/>
      </c>
      <c r="N78" s="255"/>
      <c r="O78" s="212"/>
      <c r="P78" s="187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2"/>
    </row>
    <row r="79" spans="1:34" ht="11.1" customHeight="1">
      <c r="A79" s="207">
        <v>10</v>
      </c>
      <c r="B79" s="232" t="s">
        <v>53</v>
      </c>
      <c r="C79" s="209" t="s">
        <v>78</v>
      </c>
      <c r="D79" s="212" t="str">
        <f>IF(cnt_藤岡北部第１!$BK$5=0,"",IF(演算タグ!D79&lt;0.002,"0.002未満",演算タグ!D79))</f>
        <v/>
      </c>
      <c r="E79" s="212" t="str">
        <f>IF(cnt_西市野々!$BK$5=0,"",IF(演算タグ!F79&lt;0.002,"0.002未満",演算タグ!F79))</f>
        <v/>
      </c>
      <c r="F79" s="212" t="str">
        <f>IF(cnt_藤岡北部第２!$BK$5=0,"",IF(演算タグ!H79&lt;0.002,"0.002未満",演算タグ!H79))</f>
        <v/>
      </c>
      <c r="G79" s="212" t="str">
        <f>IF(cnt_石畳!$BK$5=0,"",IF(演算タグ!J79&lt;0.002,"0.002未満",演算タグ!J79))</f>
        <v/>
      </c>
      <c r="H79" s="212" t="str">
        <f>IF(cnt_木瀬浄水!$BK$5=0,"",IF(演算タグ!L79&lt;0.002,"0.002未満",演算タグ!L79))</f>
        <v/>
      </c>
      <c r="I79" s="212" t="str">
        <f>IF(cnt_木瀬児童!$BK$5=0,"",IF(演算タグ!N79&lt;0.002,"0.002未満",演算タグ!N79))</f>
        <v/>
      </c>
      <c r="J79" s="212" t="str">
        <f>IF(cnt_西中山送配水!$BK$5=0,"",IF(演算タグ!P79&lt;0.002,"0.002未満",演算タグ!P79))</f>
        <v/>
      </c>
      <c r="K79" s="212" t="str">
        <f>IF(cnt_西中山水質!$BK$5=0,"",IF(演算タグ!R79&lt;0.002,"0.002未満",演算タグ!R79))</f>
        <v/>
      </c>
      <c r="L79" s="212" t="str">
        <f>IF(cnt_上川口!$BK$5=0,"",IF(演算タグ!T79&lt;0.002,"0.002未満",演算タグ!T79))</f>
        <v/>
      </c>
      <c r="M79" s="212" t="str">
        <f>IF(cnt_折平!$BK$5=0,"",IF(演算タグ!V79&lt;0.002,"0.002未満",演算タグ!V79))</f>
        <v/>
      </c>
      <c r="N79" s="255"/>
      <c r="O79" s="212"/>
      <c r="P79" s="187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2"/>
    </row>
    <row r="80" spans="1:34" ht="11.1" customHeight="1">
      <c r="A80" s="207">
        <v>11</v>
      </c>
      <c r="B80" s="232" t="s">
        <v>94</v>
      </c>
      <c r="C80" s="217" t="s">
        <v>90</v>
      </c>
      <c r="D80" s="191" t="str">
        <f>IF(cnt_藤岡北部第１!$BZ$5=0,"",IF(演算タグ!D80&lt;0.1,"0.1未満",演算タグ!D80))</f>
        <v/>
      </c>
      <c r="E80" s="191" t="str">
        <f>IF(cnt_西市野々!$BZ$5=0,"",IF(演算タグ!F80&lt;0.1,"0.1未満",演算タグ!F80))</f>
        <v/>
      </c>
      <c r="F80" s="191" t="str">
        <f>IF(cnt_藤岡北部第２!$BZ$5=0,"",IF(演算タグ!H80&lt;0.1,"0.1未満",演算タグ!H80))</f>
        <v/>
      </c>
      <c r="G80" s="191" t="str">
        <f>IF(cnt_石畳!$BZ$5=0,"",IF(演算タグ!J80&lt;0.1,"0.1未満",演算タグ!J80))</f>
        <v/>
      </c>
      <c r="H80" s="191" t="str">
        <f>IF(cnt_木瀬浄水!$BZ$5=0,"",IF(演算タグ!L80&lt;0.1,"0.1未満",演算タグ!L80))</f>
        <v/>
      </c>
      <c r="I80" s="191" t="str">
        <f>IF(cnt_木瀬児童!$BZ$5=0,"",IF(演算タグ!N80&lt;0.1,"0.1未満",演算タグ!N80))</f>
        <v/>
      </c>
      <c r="J80" s="191" t="str">
        <f>IF(cnt_西中山送配水!$BZ$5=0,"",IF(演算タグ!P80&lt;0.1,"0.1未満",演算タグ!P80))</f>
        <v/>
      </c>
      <c r="K80" s="191" t="str">
        <f>IF(cnt_西中山水質!$BZ$5=0,"",IF(演算タグ!R80&lt;0.1,"0.1未満",演算タグ!R80))</f>
        <v/>
      </c>
      <c r="L80" s="191" t="str">
        <f>IF(cnt_上川口!$BZ$5=0,"",IF(演算タグ!T80&lt;0.1,"0.1未満",演算タグ!T80))</f>
        <v/>
      </c>
      <c r="M80" s="191" t="str">
        <f>IF(cnt_折平!$BZ$5=0,"",IF(演算タグ!V80&lt;0.1,"0.1未満",演算タグ!V80))</f>
        <v/>
      </c>
      <c r="N80" s="190"/>
      <c r="O80" s="191"/>
      <c r="P80" s="187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2"/>
    </row>
    <row r="81" spans="1:34" ht="11.1" customHeight="1">
      <c r="A81" s="207">
        <v>12</v>
      </c>
      <c r="B81" s="232" t="s">
        <v>54</v>
      </c>
      <c r="C81" s="209" t="s">
        <v>78</v>
      </c>
      <c r="D81" s="191">
        <f>IF(cnt_藤岡北部第１!$BW$5=0,"",IF(演算タグ!D81&lt;0.1,"0.1未満",演算タグ!D81))</f>
        <v>0.8</v>
      </c>
      <c r="E81" s="191">
        <f>IF(cnt_西市野々!$BW$5=0,"",IF(演算タグ!F81&lt;0.1,"0.1未満",演算タグ!F81))</f>
        <v>0.4</v>
      </c>
      <c r="F81" s="191">
        <f>IF(cnt_藤岡北部第２!$BW$5=0,"",IF(演算タグ!H81&lt;0.1,"0.1未満",演算タグ!H81))</f>
        <v>0.6</v>
      </c>
      <c r="G81" s="191">
        <f>IF(cnt_石畳!$BW$5=0,"",IF(演算タグ!J81&lt;0.1,"0.1未満",演算タグ!J81))</f>
        <v>0.4</v>
      </c>
      <c r="H81" s="191">
        <f>IF(cnt_木瀬浄水!$BW$5=0,"",IF(演算タグ!L81&lt;0.1,"0.1未満",演算タグ!L81))</f>
        <v>0.6</v>
      </c>
      <c r="I81" s="191">
        <f>IF(cnt_木瀬児童!$BW$5=0,"",IF(演算タグ!N81&lt;0.1,"0.1未満",演算タグ!N81))</f>
        <v>0.4</v>
      </c>
      <c r="J81" s="191">
        <f>IF(cnt_西中山送配水!$BW$5=0,"",IF(演算タグ!P81&lt;0.1,"0.1未満",演算タグ!P81))</f>
        <v>0.8</v>
      </c>
      <c r="K81" s="191">
        <f>IF(cnt_西中山水質!$BW$5=0,"",IF(演算タグ!R81&lt;0.1,"0.1未満",演算タグ!R81))</f>
        <v>0.6</v>
      </c>
      <c r="L81" s="191">
        <f>IF(cnt_上川口!$BW$5=0,"",IF(演算タグ!T81&lt;0.1,"0.1未満",演算タグ!T81))</f>
        <v>0.6</v>
      </c>
      <c r="M81" s="191">
        <f>IF(cnt_折平!$BW$5=0,"",IF(演算タグ!V81&lt;0.1,"0.1未満",演算タグ!V81))</f>
        <v>0.4</v>
      </c>
      <c r="N81" s="190"/>
      <c r="O81" s="191"/>
      <c r="P81" s="187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2"/>
    </row>
    <row r="82" spans="1:34" ht="11.1" customHeight="1">
      <c r="A82" s="207">
        <v>13</v>
      </c>
      <c r="B82" s="232" t="s">
        <v>64</v>
      </c>
      <c r="C82" s="209" t="s">
        <v>78</v>
      </c>
      <c r="D82" s="191" t="str">
        <f>IF(cnt_藤岡北部第１!$Z$5=0,"",演算タグ!D82)</f>
        <v/>
      </c>
      <c r="E82" s="191" t="str">
        <f>IF(cnt_西市野々!$Z$5=0,"",演算タグ!F82)</f>
        <v/>
      </c>
      <c r="F82" s="191" t="str">
        <f>IF(cnt_藤岡北部第２!$Z$5=0,"",演算タグ!H82)</f>
        <v/>
      </c>
      <c r="G82" s="191" t="str">
        <f>IF(cnt_石畳!$Z$5=0,"",演算タグ!J82)</f>
        <v/>
      </c>
      <c r="H82" s="191" t="str">
        <f>IF(cnt_木瀬浄水!$Z$5=0,"",演算タグ!L82)</f>
        <v/>
      </c>
      <c r="I82" s="191" t="str">
        <f>IF(cnt_木瀬児童!$Z$5=0,"",演算タグ!N82)</f>
        <v/>
      </c>
      <c r="J82" s="191" t="str">
        <f>IF(cnt_西中山送配水!$Z$5=0,"",演算タグ!P82)</f>
        <v/>
      </c>
      <c r="K82" s="191" t="str">
        <f>IF(cnt_西中山水質!$Z$5=0,"",演算タグ!R82)</f>
        <v/>
      </c>
      <c r="L82" s="191" t="str">
        <f>IF(cnt_上川口!$Z$5=0,"",演算タグ!T82)</f>
        <v/>
      </c>
      <c r="M82" s="191" t="str">
        <f>IF(cnt_折平!$Z$5=0,"",演算タグ!V82)</f>
        <v/>
      </c>
      <c r="N82" s="190"/>
      <c r="O82" s="191"/>
      <c r="P82" s="187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2"/>
    </row>
    <row r="83" spans="1:34" ht="11.1" customHeight="1">
      <c r="A83" s="207">
        <v>14</v>
      </c>
      <c r="B83" s="232" t="s">
        <v>65</v>
      </c>
      <c r="C83" s="209" t="s">
        <v>78</v>
      </c>
      <c r="D83" s="212" t="str">
        <f>IF(cnt_藤岡北部第１!$N$5=0,"",IF(演算タグ!E83&lt;0.001,"0.001未満",演算タグ!E83))</f>
        <v/>
      </c>
      <c r="E83" s="212" t="str">
        <f>IF(cnt_西市野々!$N$5=0,"",IF(演算タグ!G83&lt;0.001,"0.001未満",演算タグ!G83))</f>
        <v/>
      </c>
      <c r="F83" s="212" t="str">
        <f>IF(cnt_藤岡北部第２!$N$5=0,"",IF(演算タグ!I83&lt;0.001,"0.001未満",演算タグ!I83))</f>
        <v/>
      </c>
      <c r="G83" s="212" t="str">
        <f>IF(cnt_石畳!$N$5=0,"",IF(演算タグ!K83&lt;0.001,"0.001未満",演算タグ!K83))</f>
        <v/>
      </c>
      <c r="H83" s="212" t="str">
        <f>IF(cnt_木瀬浄水!$N$5=0,"",IF(演算タグ!M83&lt;0.001,"0.001未満",演算タグ!M83))</f>
        <v/>
      </c>
      <c r="I83" s="212" t="str">
        <f>IF(cnt_木瀬児童!$N$5=0,"",IF(演算タグ!O83&lt;0.001,"0.001未満",演算タグ!O83))</f>
        <v/>
      </c>
      <c r="J83" s="212" t="str">
        <f>IF(cnt_西中山送配水!$N$5=0,"",IF(演算タグ!Q83&lt;0.001,"0.001未満",演算タグ!Q83))</f>
        <v/>
      </c>
      <c r="K83" s="212" t="str">
        <f>IF(cnt_西中山水質!$N$5=0,"",IF(演算タグ!S83&lt;0.001,"0.001未満",演算タグ!S83))</f>
        <v/>
      </c>
      <c r="L83" s="212" t="str">
        <f>IF(cnt_上川口!$N$5=0,"",IF(演算タグ!U83&lt;0.001,"0.001未満",演算タグ!U83))</f>
        <v/>
      </c>
      <c r="M83" s="212" t="str">
        <f>IF(cnt_折平!$N$5=0,"",IF(演算タグ!W83&lt;0.001,"0.001未満",演算タグ!W83))</f>
        <v/>
      </c>
      <c r="N83" s="255"/>
      <c r="O83" s="212"/>
      <c r="P83" s="187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2"/>
    </row>
    <row r="84" spans="1:34" ht="11.1" customHeight="1">
      <c r="A84" s="207">
        <v>15</v>
      </c>
      <c r="B84" s="232" t="s">
        <v>55</v>
      </c>
      <c r="C84" s="209" t="s">
        <v>78</v>
      </c>
      <c r="D84" s="191" t="str">
        <f>IF(cnt_藤岡北部第１!$BM$5=0,"",演算タグ!D84)</f>
        <v/>
      </c>
      <c r="E84" s="191" t="str">
        <f>IF(cnt_西市野々!$BM$5=0,"",演算タグ!F84)</f>
        <v/>
      </c>
      <c r="F84" s="191" t="str">
        <f>IF(cnt_藤岡北部第２!$BM$5=0,"",演算タグ!H84)</f>
        <v/>
      </c>
      <c r="G84" s="191" t="str">
        <f>IF(cnt_石畳!$BM$5=0,"",演算タグ!J84)</f>
        <v/>
      </c>
      <c r="H84" s="191" t="str">
        <f>IF(cnt_木瀬浄水!$BM$5=0,"",演算タグ!L84)</f>
        <v/>
      </c>
      <c r="I84" s="191" t="str">
        <f>IF(cnt_木瀬児童!$BM$5=0,"",演算タグ!N84)</f>
        <v/>
      </c>
      <c r="J84" s="191" t="str">
        <f>IF(cnt_西中山送配水!$BM$5=0,"",演算タグ!P84)</f>
        <v/>
      </c>
      <c r="K84" s="191" t="str">
        <f>IF(cnt_西中山水質!$BM$5=0,"",演算タグ!R84)</f>
        <v/>
      </c>
      <c r="L84" s="191" t="str">
        <f>IF(cnt_上川口!$BM$5=0,"",演算タグ!T84)</f>
        <v/>
      </c>
      <c r="M84" s="191" t="str">
        <f>IF(cnt_折平!$BM$5=0,"",演算タグ!V84)</f>
        <v/>
      </c>
      <c r="N84" s="190"/>
      <c r="O84" s="191"/>
      <c r="P84" s="187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2"/>
    </row>
    <row r="85" spans="1:34" ht="11.1" customHeight="1">
      <c r="A85" s="207">
        <v>16</v>
      </c>
      <c r="B85" s="232" t="s">
        <v>95</v>
      </c>
      <c r="C85" s="209" t="s">
        <v>78</v>
      </c>
      <c r="D85" s="212" t="str">
        <f>IF(cnt_藤岡北部第１!$AO$5=0,"",IF(演算タグ!D85&lt;0.001,"0.001未満",演算タグ!D85))</f>
        <v/>
      </c>
      <c r="E85" s="212" t="str">
        <f>IF(cnt_西市野々!$AO$5=0,"",IF(演算タグ!F85&lt;0.001,"0.001未満",演算タグ!F85))</f>
        <v/>
      </c>
      <c r="F85" s="212" t="str">
        <f>IF(cnt_藤岡北部第２!$AO$5=0,"",IF(演算タグ!H85&lt;0.001,"0.001未満",演算タグ!H85))</f>
        <v/>
      </c>
      <c r="G85" s="212" t="str">
        <f>IF(cnt_石畳!$AO$5=0,"",IF(演算タグ!J85&lt;0.001,"0.001未満",演算タグ!J85))</f>
        <v/>
      </c>
      <c r="H85" s="212" t="str">
        <f>IF(cnt_木瀬浄水!$AO$5=0,"",IF(演算タグ!L85&lt;0.001,"0.001未満",演算タグ!L85))</f>
        <v/>
      </c>
      <c r="I85" s="212" t="str">
        <f>IF(cnt_木瀬児童!$AO$5=0,"",IF(演算タグ!N85&lt;0.001,"0.001未満",演算タグ!N85))</f>
        <v/>
      </c>
      <c r="J85" s="212" t="str">
        <f>IF(cnt_西中山送配水!$AO$5=0,"",IF(演算タグ!P85&lt;0.001,"0.001未満",演算タグ!P85))</f>
        <v/>
      </c>
      <c r="K85" s="212" t="str">
        <f>IF(cnt_西中山水質!$AO$5=0,"",IF(演算タグ!R85&lt;0.001,"0.001未満",演算タグ!R85))</f>
        <v/>
      </c>
      <c r="L85" s="212" t="str">
        <f>IF(cnt_上川口!$AO$5=0,"",IF(演算タグ!T85&lt;0.001,"0.001未満",演算タグ!T85))</f>
        <v/>
      </c>
      <c r="M85" s="212" t="str">
        <f>IF(cnt_折平!$AO$5=0,"",IF(演算タグ!V85&lt;0.001,"0.001未満",演算タグ!V85))</f>
        <v/>
      </c>
      <c r="N85" s="255"/>
      <c r="O85" s="212"/>
      <c r="P85" s="187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2"/>
    </row>
    <row r="86" spans="1:34" ht="11.1" customHeight="1">
      <c r="A86" s="207">
        <v>17</v>
      </c>
      <c r="B86" s="232" t="s">
        <v>66</v>
      </c>
      <c r="C86" s="209" t="s">
        <v>78</v>
      </c>
      <c r="D86" s="212" t="str">
        <f>IF(cnt_藤岡北部第１!$AP$5=0,"",IF(演算タグ!D86&lt;0.001,"0.001未満",演算タグ!D86))</f>
        <v/>
      </c>
      <c r="E86" s="212" t="str">
        <f>IF(cnt_西市野々!$AP$5=0,"",IF(演算タグ!F86&lt;0.001,"0.001未満",演算タグ!F86))</f>
        <v/>
      </c>
      <c r="F86" s="212" t="str">
        <f>IF(cnt_藤岡北部第２!$AP$5=0,"",IF(演算タグ!H86&lt;0.001,"0.001未満",演算タグ!H86))</f>
        <v/>
      </c>
      <c r="G86" s="212" t="str">
        <f>IF(cnt_石畳!$AP$5=0,"",IF(演算タグ!J86&lt;0.001,"0.001未満",演算タグ!J86))</f>
        <v/>
      </c>
      <c r="H86" s="212" t="str">
        <f>IF(cnt_木瀬浄水!$AP$5=0,"",IF(演算タグ!L86&lt;0.001,"0.001未満",演算タグ!L86))</f>
        <v/>
      </c>
      <c r="I86" s="212" t="str">
        <f>IF(cnt_木瀬児童!$AP$5=0,"",IF(演算タグ!N86&lt;0.001,"0.001未満",演算タグ!N86))</f>
        <v/>
      </c>
      <c r="J86" s="212" t="str">
        <f>IF(cnt_西中山送配水!$AP$5=0,"",IF(演算タグ!P86&lt;0.001,"0.001未満",演算タグ!P86))</f>
        <v/>
      </c>
      <c r="K86" s="212" t="str">
        <f>IF(cnt_西中山水質!$AP$5=0,"",IF(演算タグ!R86&lt;0.001,"0.001未満",演算タグ!R86))</f>
        <v/>
      </c>
      <c r="L86" s="212" t="str">
        <f>IF(cnt_上川口!$AP$5=0,"",IF(演算タグ!T86&lt;0.001,"0.001未満",演算タグ!T86))</f>
        <v/>
      </c>
      <c r="M86" s="212" t="str">
        <f>IF(cnt_折平!$AP$5=0,"",IF(演算タグ!V86&lt;0.001,"0.001未満",演算タグ!V86))</f>
        <v/>
      </c>
      <c r="N86" s="255"/>
      <c r="O86" s="212"/>
      <c r="P86" s="187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2"/>
    </row>
    <row r="87" spans="1:34" ht="11.1" customHeight="1">
      <c r="A87" s="207">
        <v>18</v>
      </c>
      <c r="B87" s="232" t="s">
        <v>67</v>
      </c>
      <c r="C87" s="209" t="s">
        <v>78</v>
      </c>
      <c r="D87" s="191" t="str">
        <f>IF(cnt_藤岡北部第１!$BP$5=0,"",演算タグ!D87)</f>
        <v/>
      </c>
      <c r="E87" s="191" t="str">
        <f>IF(cnt_西市野々!$BP$5=0,"",演算タグ!F87)</f>
        <v/>
      </c>
      <c r="F87" s="191" t="str">
        <f>IF(cnt_藤岡北部第２!$BP$5=0,"",演算タグ!H87)</f>
        <v/>
      </c>
      <c r="G87" s="191" t="str">
        <f>IF(cnt_石畳!$BP$5=0,"",演算タグ!J87)</f>
        <v/>
      </c>
      <c r="H87" s="191" t="str">
        <f>IF(cnt_木瀬浄水!$BP$5=0,"",演算タグ!L87)</f>
        <v/>
      </c>
      <c r="I87" s="191" t="str">
        <f>IF(cnt_木瀬児童!$BP$5=0,"",演算タグ!N87)</f>
        <v/>
      </c>
      <c r="J87" s="191" t="str">
        <f>IF(cnt_西中山送配水!$BP$5=0,"",演算タグ!P87)</f>
        <v/>
      </c>
      <c r="K87" s="191" t="str">
        <f>IF(cnt_西中山水質!$BP$5=0,"",演算タグ!R87)</f>
        <v/>
      </c>
      <c r="L87" s="191" t="str">
        <f>IF(cnt_上川口!$BP$5=0,"",演算タグ!T87)</f>
        <v/>
      </c>
      <c r="M87" s="191" t="str">
        <f>IF(cnt_折平!$BP$5=0,"",演算タグ!V87)</f>
        <v/>
      </c>
      <c r="N87" s="190"/>
      <c r="O87" s="191"/>
      <c r="P87" s="187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2"/>
    </row>
    <row r="88" spans="1:34" ht="11.1" customHeight="1">
      <c r="A88" s="207">
        <v>19</v>
      </c>
      <c r="B88" s="232" t="s">
        <v>98</v>
      </c>
      <c r="C88" s="217" t="s">
        <v>90</v>
      </c>
      <c r="D88" s="188" t="str">
        <f>IF(cnt_藤岡北部第１!$BQ$5=0,"",IF(演算タグ!D88&lt;1,"1未満",演算タグ!D88))</f>
        <v>1未満</v>
      </c>
      <c r="E88" s="188" t="str">
        <f>IF(cnt_西市野々!$BQ$5=0,"",IF(演算タグ!F88&lt;1,"1未満",演算タグ!F88))</f>
        <v>1未満</v>
      </c>
      <c r="F88" s="188" t="str">
        <f>IF(cnt_藤岡北部第２!$BQ$5=0,"",IF(演算タグ!H88&lt;1,"1未満",演算タグ!H88))</f>
        <v>1未満</v>
      </c>
      <c r="G88" s="188" t="str">
        <f>IF(cnt_石畳!$BQ$5=0,"",IF(演算タグ!J88&lt;1,"1未満",演算タグ!J88))</f>
        <v>1未満</v>
      </c>
      <c r="H88" s="188" t="str">
        <f>IF(cnt_木瀬浄水!$BQ$5=0,"",IF(演算タグ!L88&lt;1,"1未満",演算タグ!L88))</f>
        <v>1未満</v>
      </c>
      <c r="I88" s="188" t="str">
        <f>IF(cnt_木瀬児童!$BQ$5=0,"",IF(演算タグ!N88&lt;1,"1未満",演算タグ!N88))</f>
        <v>1未満</v>
      </c>
      <c r="J88" s="188" t="str">
        <f>IF(cnt_西中山送配水!$BQ$5=0,"",IF(演算タグ!P88&lt;1,"1未満",演算タグ!P88))</f>
        <v>1未満</v>
      </c>
      <c r="K88" s="188" t="str">
        <f>IF(cnt_西中山水質!$BQ$5=0,"",IF(演算タグ!R88&lt;1,"1未満",演算タグ!R88))</f>
        <v>1未満</v>
      </c>
      <c r="L88" s="188" t="str">
        <f>IF(cnt_上川口!$BQ$5=0,"",IF(演算タグ!T88&lt;1,"1未満",演算タグ!T88))</f>
        <v>1未満</v>
      </c>
      <c r="M88" s="188" t="str">
        <f>IF(cnt_折平!$BQ$5=0,"",IF(演算タグ!V88&lt;1,"1未満",演算タグ!V88))</f>
        <v>1未満</v>
      </c>
      <c r="N88" s="187"/>
      <c r="O88" s="188"/>
      <c r="P88" s="187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2"/>
    </row>
    <row r="89" spans="1:34" ht="11.1" customHeight="1">
      <c r="A89" s="207">
        <v>20</v>
      </c>
      <c r="B89" s="232" t="s">
        <v>56</v>
      </c>
      <c r="C89" s="209" t="s">
        <v>78</v>
      </c>
      <c r="D89" s="188" t="str">
        <f>IF(cnt_藤岡北部第１!$AW$5=0,"",演算タグ!D89)</f>
        <v/>
      </c>
      <c r="E89" s="188" t="str">
        <f>IF(cnt_西市野々!$AW$5=0,"",演算タグ!F89)</f>
        <v/>
      </c>
      <c r="F89" s="188" t="str">
        <f>IF(cnt_藤岡北部第２!$AW$5=0,"",演算タグ!H89)</f>
        <v/>
      </c>
      <c r="G89" s="188" t="str">
        <f>IF(cnt_石畳!$AW$5=0,"",演算タグ!J89)</f>
        <v/>
      </c>
      <c r="H89" s="188" t="str">
        <f>IF(cnt_木瀬浄水!$AW$5=0,"",演算タグ!L89)</f>
        <v/>
      </c>
      <c r="I89" s="188" t="str">
        <f>IF(cnt_木瀬児童!$AW$5=0,"",演算タグ!N89)</f>
        <v/>
      </c>
      <c r="J89" s="188" t="str">
        <f>IF(cnt_西中山送配水!$AW$5=0,"",演算タグ!P89)</f>
        <v/>
      </c>
      <c r="K89" s="188" t="str">
        <f>IF(cnt_西中山水質!$AW$5=0,"",演算タグ!R89)</f>
        <v/>
      </c>
      <c r="L89" s="188" t="str">
        <f>IF(cnt_上川口!$AW$5=0,"",演算タグ!T89)</f>
        <v/>
      </c>
      <c r="M89" s="188" t="str">
        <f>IF(cnt_折平!$AW$5=0,"",演算タグ!V89)</f>
        <v/>
      </c>
      <c r="N89" s="187"/>
      <c r="O89" s="188"/>
      <c r="P89" s="187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2"/>
    </row>
    <row r="90" spans="1:34" ht="11.1" customHeight="1">
      <c r="A90" s="207">
        <v>21</v>
      </c>
      <c r="B90" s="232" t="s">
        <v>43</v>
      </c>
      <c r="C90" s="233" t="s">
        <v>91</v>
      </c>
      <c r="D90" s="191" t="str">
        <f>IF(cnt_藤岡北部第１!$BE$5=0,"",IF(演算タグ!D90&lt;0.1,"0.1未満",演算タグ!D90))</f>
        <v>0.1未満</v>
      </c>
      <c r="E90" s="191" t="str">
        <f>IF(cnt_西市野々!$BE$5=0,"",IF(演算タグ!F90&lt;0.1,"0.1未満",演算タグ!F90))</f>
        <v>0.1未満</v>
      </c>
      <c r="F90" s="191" t="str">
        <f>IF(cnt_藤岡北部第２!$BE$5=0,"",IF(演算タグ!H90&lt;0.1,"0.1未満",演算タグ!H90))</f>
        <v>0.1未満</v>
      </c>
      <c r="G90" s="191" t="str">
        <f>IF(cnt_石畳!$BE$5=0,"",IF(演算タグ!J90&lt;0.1,"0.1未満",演算タグ!J90))</f>
        <v>0.1未満</v>
      </c>
      <c r="H90" s="191" t="str">
        <f>IF(cnt_木瀬浄水!$BE$5=0,"",IF(演算タグ!L90&lt;0.1,"0.1未満",演算タグ!L90))</f>
        <v>0.1未満</v>
      </c>
      <c r="I90" s="191" t="str">
        <f>IF(cnt_木瀬児童!$BE$5=0,"",IF(演算タグ!N90&lt;0.1,"0.1未満",演算タグ!N90))</f>
        <v>0.1未満</v>
      </c>
      <c r="J90" s="191" t="str">
        <f>IF(cnt_西中山送配水!$BE$5=0,"",IF(演算タグ!P90&lt;0.1,"0.1未満",演算タグ!P90))</f>
        <v>0.1未満</v>
      </c>
      <c r="K90" s="191" t="str">
        <f>IF(cnt_西中山水質!$BE$5=0,"",IF(演算タグ!R90&lt;0.1,"0.1未満",演算タグ!R90))</f>
        <v>0.1未満</v>
      </c>
      <c r="L90" s="191" t="str">
        <f>IF(cnt_上川口!$BE$5=0,"",IF(演算タグ!T90&lt;0.1,"0.1未満",演算タグ!T90))</f>
        <v>0.1未満</v>
      </c>
      <c r="M90" s="191" t="str">
        <f>IF(cnt_折平!$BE$5=0,"",IF(演算タグ!V90&lt;0.1,"0.1未満",演算タグ!V90))</f>
        <v>0.1未満</v>
      </c>
      <c r="N90" s="190"/>
      <c r="O90" s="191"/>
      <c r="P90" s="187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2"/>
    </row>
    <row r="91" spans="1:34" ht="11.1" customHeight="1">
      <c r="A91" s="207">
        <v>22</v>
      </c>
      <c r="B91" s="232" t="s">
        <v>103</v>
      </c>
      <c r="C91" s="217" t="s">
        <v>90</v>
      </c>
      <c r="D91" s="191">
        <f>IF(cnt_藤岡北部第１!$BF$5=0,"",演算タグ!D91)</f>
        <v>7.1</v>
      </c>
      <c r="E91" s="191">
        <f>IF(cnt_西市野々!$BF$5=0,"",演算タグ!F91)</f>
        <v>7.1</v>
      </c>
      <c r="F91" s="191">
        <f>IF(cnt_藤岡北部第２!$BF$5=0,"",演算タグ!H91)</f>
        <v>7.1</v>
      </c>
      <c r="G91" s="191">
        <f>IF(cnt_石畳!$BF$5=0,"",演算タグ!J91)</f>
        <v>7.1</v>
      </c>
      <c r="H91" s="191">
        <f>IF(cnt_木瀬浄水!$BF$5=0,"",演算タグ!L91)</f>
        <v>6.8</v>
      </c>
      <c r="I91" s="191">
        <f>IF(cnt_木瀬児童!$BF$5=0,"",演算タグ!N91)</f>
        <v>6.9</v>
      </c>
      <c r="J91" s="191">
        <f>IF(cnt_西中山送配水!$BF$5=0,"",演算タグ!P91)</f>
        <v>7.1</v>
      </c>
      <c r="K91" s="191">
        <f>IF(cnt_西中山水質!$BF$5=0,"",演算タグ!R91)</f>
        <v>7</v>
      </c>
      <c r="L91" s="191">
        <f>IF(cnt_上川口!$BF$5=0,"",演算タグ!T91)</f>
        <v>7.1</v>
      </c>
      <c r="M91" s="191">
        <f>IF(cnt_折平!$BF$5=0,"",演算タグ!V91)</f>
        <v>7.2</v>
      </c>
      <c r="N91" s="190"/>
      <c r="O91" s="191"/>
      <c r="P91" s="187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2"/>
    </row>
    <row r="92" spans="1:34" ht="11.1" customHeight="1">
      <c r="A92" s="207">
        <v>23</v>
      </c>
      <c r="B92" s="232" t="s">
        <v>175</v>
      </c>
      <c r="C92" s="217" t="s">
        <v>90</v>
      </c>
      <c r="D92" s="191" t="str">
        <f>IF(cnt_藤岡北部第１!$BO$5=0,"",演算タグ!D92)</f>
        <v/>
      </c>
      <c r="E92" s="191" t="str">
        <f>IF(cnt_西市野々!$BO$5=0,"",演算タグ!F92)</f>
        <v/>
      </c>
      <c r="F92" s="191" t="str">
        <f>IF(cnt_藤岡北部第２!$BO$5=0,"",演算タグ!H92)</f>
        <v/>
      </c>
      <c r="G92" s="191" t="str">
        <f>IF(cnt_石畳!$BO$5=0,"",演算タグ!J92)</f>
        <v/>
      </c>
      <c r="H92" s="191" t="str">
        <f>IF(cnt_木瀬浄水!$BO$5=0,"",演算タグ!L92)</f>
        <v/>
      </c>
      <c r="I92" s="191" t="str">
        <f>IF(cnt_木瀬児童!$BO$5=0,"",演算タグ!N92)</f>
        <v/>
      </c>
      <c r="J92" s="191" t="str">
        <f>IF(cnt_西中山送配水!$BO$5=0,"",演算タグ!P92)</f>
        <v/>
      </c>
      <c r="K92" s="191" t="str">
        <f>IF(cnt_西中山水質!$BO$5=0,"",演算タグ!R92)</f>
        <v/>
      </c>
      <c r="L92" s="191" t="str">
        <f>IF(cnt_上川口!$BO$5=0,"",演算タグ!T92)</f>
        <v/>
      </c>
      <c r="M92" s="191" t="str">
        <f>IF(cnt_折平!$BO$5=0,"",演算タグ!V92)</f>
        <v/>
      </c>
      <c r="N92" s="190"/>
      <c r="O92" s="191"/>
      <c r="P92" s="187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2"/>
    </row>
    <row r="93" spans="1:34" ht="11.1" customHeight="1">
      <c r="A93" s="207">
        <v>24</v>
      </c>
      <c r="B93" s="234" t="s">
        <v>58</v>
      </c>
      <c r="C93" s="235" t="s">
        <v>92</v>
      </c>
      <c r="D93" s="188" t="str">
        <f>IF(cnt_藤岡北部第１!$BS$5=0,"",演算タグ!D93)</f>
        <v/>
      </c>
      <c r="E93" s="188" t="str">
        <f>IF(cnt_西市野々!$BS$5=0,"",演算タグ!F93)</f>
        <v/>
      </c>
      <c r="F93" s="188" t="str">
        <f>IF(cnt_藤岡北部第２!$BS$5=0,"",演算タグ!H93)</f>
        <v/>
      </c>
      <c r="G93" s="188" t="str">
        <f>IF(cnt_石畳!$BS$5=0,"",演算タグ!J93)</f>
        <v/>
      </c>
      <c r="H93" s="188" t="str">
        <f>IF(cnt_木瀬浄水!$BS$5=0,"",演算タグ!L93)</f>
        <v/>
      </c>
      <c r="I93" s="188" t="str">
        <f>IF(cnt_木瀬児童!$BS$5=0,"",演算タグ!N93)</f>
        <v/>
      </c>
      <c r="J93" s="188" t="str">
        <f>IF(cnt_西中山送配水!$BS$5=0,"",演算タグ!P93)</f>
        <v/>
      </c>
      <c r="K93" s="188" t="str">
        <f>IF(cnt_西中山水質!$BS$5=0,"",演算タグ!R93)</f>
        <v/>
      </c>
      <c r="L93" s="188" t="str">
        <f>IF(cnt_上川口!$BS$5=0,"",演算タグ!T93)</f>
        <v/>
      </c>
      <c r="M93" s="188" t="str">
        <f>IF(cnt_折平!$BS$5=0,"",演算タグ!V93)</f>
        <v/>
      </c>
      <c r="N93" s="187"/>
      <c r="O93" s="188"/>
      <c r="P93" s="187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2"/>
    </row>
    <row r="94" spans="1:34" ht="11.1" customHeight="1">
      <c r="A94" s="207">
        <v>25</v>
      </c>
      <c r="B94" s="232" t="s">
        <v>104</v>
      </c>
      <c r="C94" s="209" t="s">
        <v>78</v>
      </c>
      <c r="D94" s="212" t="str">
        <f>IF(cnt_藤岡北部第１!$AQ$5=0,"",IF(演算タグ!D94&lt;0.001,"0.001未満",演算タグ!D94))</f>
        <v/>
      </c>
      <c r="E94" s="212" t="str">
        <f>IF(cnt_西市野々!$AQ$5=0,"",IF(演算タグ!F94&lt;0.001,"0.001未満",演算タグ!F94))</f>
        <v/>
      </c>
      <c r="F94" s="212" t="str">
        <f>IF(cnt_藤岡北部第２!$AQ$5=0,"",IF(演算タグ!H94&lt;0.001,"0.001未満",演算タグ!H94))</f>
        <v/>
      </c>
      <c r="G94" s="212" t="str">
        <f>IF(cnt_石畳!$AQ$5=0,"",IF(演算タグ!J94&lt;0.001,"0.001未満",演算タグ!J94))</f>
        <v/>
      </c>
      <c r="H94" s="212" t="str">
        <f>IF(cnt_木瀬浄水!$AQ$5=0,"",IF(演算タグ!L94&lt;0.001,"0.001未満",演算タグ!L94))</f>
        <v/>
      </c>
      <c r="I94" s="212" t="str">
        <f>IF(cnt_木瀬児童!$AQ$5=0,"",IF(演算タグ!N94&lt;0.001,"0.001未満",演算タグ!N94))</f>
        <v/>
      </c>
      <c r="J94" s="212" t="str">
        <f>IF(cnt_西中山送配水!$AQ$5=0,"",IF(演算タグ!P94&lt;0.001,"0.001未満",演算タグ!P94))</f>
        <v/>
      </c>
      <c r="K94" s="212" t="str">
        <f>IF(cnt_西中山水質!$AQ$5=0,"",IF(演算タグ!R94&lt;0.001,"0.001未満",演算タグ!R94))</f>
        <v/>
      </c>
      <c r="L94" s="212" t="str">
        <f>IF(cnt_上川口!$AQ$5=0,"",IF(演算タグ!T94&lt;0.001,"0.001未満",演算タグ!T94))</f>
        <v/>
      </c>
      <c r="M94" s="212" t="str">
        <f>IF(cnt_折平!$AQ$5=0,"",IF(演算タグ!V94&lt;0.001,"0.001未満",演算タグ!V94))</f>
        <v/>
      </c>
      <c r="N94" s="255"/>
      <c r="O94" s="212"/>
      <c r="P94" s="187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2"/>
    </row>
    <row r="95" spans="1:34" ht="11.1" customHeight="1">
      <c r="A95" s="207">
        <v>26</v>
      </c>
      <c r="B95" s="236" t="s">
        <v>68</v>
      </c>
      <c r="C95" s="209" t="s">
        <v>78</v>
      </c>
      <c r="D95" s="213" t="str">
        <f>IF(cnt_藤岡北部第１!$K$5=0,"",IF(演算タグ!E95&lt;0.01,"0.01未満",演算タグ!E95))</f>
        <v/>
      </c>
      <c r="E95" s="213" t="str">
        <f>IF(cnt_西市野々!$K$5=0,"",IF(演算タグ!G95&lt;0.01,"0.01未満",演算タグ!G95))</f>
        <v/>
      </c>
      <c r="F95" s="213" t="str">
        <f>IF(cnt_藤岡北部第２!$K$5=0,"",IF(演算タグ!I95&lt;0.01,"0.01未満",演算タグ!I95))</f>
        <v/>
      </c>
      <c r="G95" s="213" t="str">
        <f>IF(cnt_石畳!$K$5=0,"",IF(演算タグ!K95&lt;0.01,"0.01未満",演算タグ!K95))</f>
        <v/>
      </c>
      <c r="H95" s="213" t="str">
        <f>IF(cnt_木瀬浄水!$K$5=0,"",IF(演算タグ!M95&lt;0.01,"0.01未満",演算タグ!M95))</f>
        <v/>
      </c>
      <c r="I95" s="213" t="str">
        <f>IF(cnt_木瀬児童!$K$5=0,"",IF(演算タグ!O95&lt;0.01,"0.01未満",演算タグ!O95))</f>
        <v/>
      </c>
      <c r="J95" s="213" t="str">
        <f>IF(cnt_西中山送配水!$K$5=0,"",IF(演算タグ!Q95&lt;0.01,"0.01未満",演算タグ!Q95))</f>
        <v/>
      </c>
      <c r="K95" s="213" t="str">
        <f>IF(cnt_西中山水質!$K$5=0,"",IF(演算タグ!S95&lt;0.01,"0.01未満",演算タグ!S95))</f>
        <v/>
      </c>
      <c r="L95" s="213" t="str">
        <f>IF(cnt_上川口!$K$5=0,"",IF(演算タグ!U95&lt;0.01,"0.01未満",演算タグ!U95))</f>
        <v/>
      </c>
      <c r="M95" s="213" t="str">
        <f>IF(cnt_折平!$K$5=0,"",IF(演算タグ!W95&lt;0.01,"0.01未満",演算タグ!W95))</f>
        <v/>
      </c>
      <c r="N95" s="256"/>
      <c r="O95" s="213"/>
      <c r="P95" s="187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2"/>
    </row>
    <row r="96" spans="1:34" ht="11.1" customHeight="1" thickBot="1">
      <c r="A96" s="237">
        <v>27</v>
      </c>
      <c r="B96" s="238" t="s">
        <v>176</v>
      </c>
      <c r="C96" s="220" t="s">
        <v>374</v>
      </c>
      <c r="D96" s="269" t="str">
        <f>IF(cnt_藤岡北部第１!$BR$5=0,"",IF(演算タグ!E96&lt;0.000005,"0.000005未満",演算タグ!E96))</f>
        <v/>
      </c>
      <c r="E96" s="269" t="str">
        <f>IF(cnt_西市野々!$BR$5=0,"",IF(演算タグ!G96&lt;0.000005,"0.000005未満",演算タグ!G96))</f>
        <v/>
      </c>
      <c r="F96" s="269" t="str">
        <f>IF(cnt_藤岡北部第２!$BR$5=0,"",IF(演算タグ!I96&lt;0.000005,"0.000005未満",演算タグ!I96))</f>
        <v/>
      </c>
      <c r="G96" s="269" t="str">
        <f>IF(cnt_石畳!$BR$5=0,"",IF(演算タグ!K96&lt;0.000005,"0.000005未満",演算タグ!K96))</f>
        <v/>
      </c>
      <c r="H96" s="269" t="str">
        <f>IF(cnt_木瀬浄水!$BR$5=0,"",IF(演算タグ!M96&lt;0.000005,"0.000005未満",演算タグ!M96))</f>
        <v/>
      </c>
      <c r="I96" s="269" t="str">
        <f>IF(cnt_木瀬児童!$BR$5=0,"",IF(演算タグ!O96&lt;0.000005,"0.000005未満",演算タグ!O96))</f>
        <v/>
      </c>
      <c r="J96" s="269" t="str">
        <f>IF(cnt_西中山送配水!$BR$5=0,"",IF(演算タグ!Q96&lt;0.000005,"0.000005未満",演算タグ!Q96))</f>
        <v/>
      </c>
      <c r="K96" s="269" t="str">
        <f>IF(cnt_西中山水質!$BR$5=0,"",IF(演算タグ!S96&lt;0.000005,"0.000005未満",演算タグ!S96))</f>
        <v/>
      </c>
      <c r="L96" s="269" t="str">
        <f>IF(cnt_上川口!$BR$5=0,"",IF(演算タグ!U96&lt;0.000005,"0.000005未満",演算タグ!U96))</f>
        <v/>
      </c>
      <c r="M96" s="269" t="str">
        <f>IF(cnt_折平!$BR$5=0,"",IF(演算タグ!W96&lt;0.000005,"0.000005未満",演算タグ!W96))</f>
        <v/>
      </c>
      <c r="N96" s="270"/>
      <c r="O96" s="269"/>
      <c r="P96" s="257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71"/>
      <c r="AH96" s="272"/>
    </row>
    <row r="97" spans="1:34" ht="11.1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87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2"/>
    </row>
    <row r="98" spans="1:34" ht="11.1" customHeight="1">
      <c r="A98" s="204">
        <v>1</v>
      </c>
      <c r="B98" s="240" t="s">
        <v>178</v>
      </c>
      <c r="C98" s="241" t="s">
        <v>60</v>
      </c>
      <c r="D98" s="242" t="str">
        <f>IF(cnt_藤岡北部第１!$BL$5=0,"",演算タグ!D98)</f>
        <v/>
      </c>
      <c r="E98" s="242" t="str">
        <f>IF(cnt_西市野々!$BL$5=0,"",演算タグ!F98)</f>
        <v/>
      </c>
      <c r="F98" s="242" t="str">
        <f>IF(cnt_藤岡北部第２!$BL$5=0,"",演算タグ!H98)</f>
        <v/>
      </c>
      <c r="G98" s="242" t="str">
        <f>IF(cnt_石畳!$BL$5=0,"",演算タグ!J98)</f>
        <v/>
      </c>
      <c r="H98" s="242" t="str">
        <f>IF(cnt_木瀬浄水!$BL$5=0,"",演算タグ!L98)</f>
        <v/>
      </c>
      <c r="I98" s="242" t="str">
        <f>IF(cnt_木瀬児童!$BL$5=0,"",演算タグ!N98)</f>
        <v/>
      </c>
      <c r="J98" s="242" t="str">
        <f>IF(cnt_西中山送配水!$BL$5=0,"",演算タグ!P98)</f>
        <v/>
      </c>
      <c r="K98" s="242" t="str">
        <f>IF(cnt_西中山水質!$BL$5=0,"",演算タグ!R98)</f>
        <v/>
      </c>
      <c r="L98" s="242" t="str">
        <f>IF(cnt_上川口!$BL$5=0,"",演算タグ!T98)</f>
        <v/>
      </c>
      <c r="M98" s="242" t="str">
        <f>IF(cnt_折平!$BL$5=0,"",演算タグ!V98)</f>
        <v/>
      </c>
      <c r="N98" s="259"/>
      <c r="O98" s="242"/>
      <c r="P98" s="187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93"/>
      <c r="AH98" s="194"/>
    </row>
    <row r="99" spans="1:34" ht="11.1" customHeight="1">
      <c r="A99" s="207">
        <v>2</v>
      </c>
      <c r="B99" s="243" t="s">
        <v>179</v>
      </c>
      <c r="C99" s="244" t="s">
        <v>60</v>
      </c>
      <c r="D99" s="191" t="str">
        <f>IF(cnt_藤岡北部第１!$BN$5=0,"",演算タグ!D99)</f>
        <v/>
      </c>
      <c r="E99" s="191" t="str">
        <f>IF(cnt_西市野々!$BN$5=0,"",演算タグ!F99)</f>
        <v/>
      </c>
      <c r="F99" s="191" t="str">
        <f>IF(cnt_藤岡北部第２!$BN$5=0,"",演算タグ!H99)</f>
        <v/>
      </c>
      <c r="G99" s="191" t="str">
        <f>IF(cnt_石畳!$BN$5=0,"",演算タグ!J99)</f>
        <v/>
      </c>
      <c r="H99" s="191" t="str">
        <f>IF(cnt_木瀬浄水!$BN$5=0,"",演算タグ!L99)</f>
        <v/>
      </c>
      <c r="I99" s="191" t="str">
        <f>IF(cnt_木瀬児童!$BN$5=0,"",演算タグ!N99)</f>
        <v/>
      </c>
      <c r="J99" s="191" t="str">
        <f>IF(cnt_西中山送配水!$BN$5=0,"",演算タグ!P99)</f>
        <v/>
      </c>
      <c r="K99" s="191" t="str">
        <f>IF(cnt_西中山水質!$BN$5=0,"",演算タグ!R99)</f>
        <v/>
      </c>
      <c r="L99" s="191" t="str">
        <f>IF(cnt_上川口!$BN$5=0,"",演算タグ!T99)</f>
        <v/>
      </c>
      <c r="M99" s="191" t="str">
        <f>IF(cnt_折平!$BN$5=0,"",演算タグ!V99)</f>
        <v/>
      </c>
      <c r="N99" s="190"/>
      <c r="O99" s="191"/>
      <c r="P99" s="187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93"/>
      <c r="AH99" s="194"/>
    </row>
    <row r="100" spans="1:34" ht="11.1" customHeight="1">
      <c r="A100" s="207">
        <v>3</v>
      </c>
      <c r="B100" s="243" t="s">
        <v>59</v>
      </c>
      <c r="C100" s="244" t="s">
        <v>376</v>
      </c>
      <c r="D100" s="191">
        <f>IF(cnt_藤岡北部第１!$CA$5=0,"",演算タグ!D100)</f>
        <v>3.9</v>
      </c>
      <c r="E100" s="191">
        <f>IF(cnt_西市野々!$CA$5=0,"",演算タグ!F100)</f>
        <v>3.8</v>
      </c>
      <c r="F100" s="191">
        <f>IF(cnt_藤岡北部第２!$CA$5=0,"",演算タグ!H100)</f>
        <v>4.4000000000000004</v>
      </c>
      <c r="G100" s="191">
        <f>IF(cnt_石畳!$CA$5=0,"",演算タグ!J100)</f>
        <v>4.3</v>
      </c>
      <c r="H100" s="191">
        <f>IF(cnt_木瀬浄水!$CA$5=0,"",演算タグ!L100)</f>
        <v>9</v>
      </c>
      <c r="I100" s="191">
        <f>IF(cnt_木瀬児童!$CA$5=0,"",演算タグ!N100)</f>
        <v>7.9</v>
      </c>
      <c r="J100" s="191">
        <f>IF(cnt_西中山送配水!$CA$5=0,"",演算タグ!P100)</f>
        <v>6</v>
      </c>
      <c r="K100" s="191">
        <f>IF(cnt_西中山水質!$CA$5=0,"",演算タグ!R100)</f>
        <v>6</v>
      </c>
      <c r="L100" s="191">
        <f>IF(cnt_上川口!$CA$5=0,"",演算タグ!T100)</f>
        <v>6.2</v>
      </c>
      <c r="M100" s="191">
        <f>IF(cnt_折平!$CA$5=0,"",演算タグ!V100)</f>
        <v>5.9</v>
      </c>
      <c r="N100" s="190"/>
      <c r="O100" s="191"/>
      <c r="P100" s="187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93"/>
      <c r="AH100" s="194"/>
    </row>
    <row r="101" spans="1:34" ht="11.1" customHeight="1">
      <c r="A101" s="207">
        <v>4</v>
      </c>
      <c r="B101" s="243" t="s">
        <v>219</v>
      </c>
      <c r="C101" s="244" t="s">
        <v>374</v>
      </c>
      <c r="D101" s="213">
        <f>IF(cnt_藤岡北部第１!$BV$5=0,"",IF(演算タグ!D101&lt;0.02,"0.02未満",演算タグ!D101))</f>
        <v>0.12</v>
      </c>
      <c r="E101" s="213">
        <f>IF(cnt_西市野々!$BV$5=0,"",IF(演算タグ!F101&lt;0.02,"0.02未満",演算タグ!F101))</f>
        <v>0.12</v>
      </c>
      <c r="F101" s="213">
        <f>IF(cnt_藤岡北部第２!$BV$5=0,"",IF(演算タグ!H101&lt;0.02,"0.02未満",演算タグ!H101))</f>
        <v>0.19</v>
      </c>
      <c r="G101" s="213">
        <f>IF(cnt_石畳!$BV$5=0,"",IF(演算タグ!J101&lt;0.02,"0.02未満",演算タグ!J101))</f>
        <v>0.18</v>
      </c>
      <c r="H101" s="213">
        <f>IF(cnt_木瀬浄水!$BV$5=0,"",IF(演算タグ!L101&lt;0.02,"0.02未満",演算タグ!L101))</f>
        <v>0.51</v>
      </c>
      <c r="I101" s="213">
        <f>IF(cnt_木瀬児童!$BV$5=0,"",IF(演算タグ!N101&lt;0.02,"0.02未満",演算タグ!N101))</f>
        <v>0.4</v>
      </c>
      <c r="J101" s="213">
        <f>IF(cnt_西中山送配水!$BV$5=0,"",IF(演算タグ!P101&lt;0.02,"0.02未満",演算タグ!P101))</f>
        <v>0.23</v>
      </c>
      <c r="K101" s="213">
        <f>IF(cnt_西中山水質!$BV$5=0,"",IF(演算タグ!R101&lt;0.02,"0.02未満",演算タグ!R101))</f>
        <v>0.22</v>
      </c>
      <c r="L101" s="213">
        <f>IF(cnt_上川口!$BV$5=0,"",IF(演算タグ!T101&lt;0.02,"0.02未満",演算タグ!T101))</f>
        <v>0.24</v>
      </c>
      <c r="M101" s="213">
        <f>IF(cnt_折平!$BV$5=0,"",IF(演算タグ!V101&lt;0.02,"0.02未満",演算タグ!V101))</f>
        <v>0.21</v>
      </c>
      <c r="N101" s="256"/>
      <c r="O101" s="213"/>
      <c r="P101" s="187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93"/>
      <c r="AH101" s="194"/>
    </row>
    <row r="102" spans="1:34" ht="11.1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7"/>
      <c r="O102" s="188"/>
      <c r="P102" s="187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2"/>
    </row>
    <row r="103" spans="1:34" ht="11.1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7"/>
      <c r="O103" s="188"/>
      <c r="P103" s="187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2"/>
    </row>
    <row r="104" spans="1:34" ht="11.1" customHeight="1">
      <c r="A104" s="207">
        <v>7</v>
      </c>
      <c r="B104" s="245" t="s">
        <v>70</v>
      </c>
      <c r="C104" s="233" t="s">
        <v>60</v>
      </c>
      <c r="D104" s="188" t="str">
        <f>IF(OR(cnt_藤岡北部第１!$BT$5=0,cnt_藤岡北部第１!$BT$5=""),"",IF(演算タグ!D104=1,"検出","不検出"))</f>
        <v/>
      </c>
      <c r="E104" s="188" t="str">
        <f>IF(OR(cnt_西市野々!$BT$5=0,cnt_西市野々!$BT$5=""),"",IF(演算タグ!F104=1,"検出","不検出"))</f>
        <v/>
      </c>
      <c r="F104" s="188" t="str">
        <f>IF(OR(cnt_藤岡北部第２!$BT$5=0,cnt_藤岡北部第２!$BT$5=""),"",IF(演算タグ!H104=1,"検出","不検出"))</f>
        <v/>
      </c>
      <c r="G104" s="188" t="str">
        <f>IF(OR(cnt_石畳!$BT$5=0,cnt_石畳!$BT$5=""),"",IF(演算タグ!J104=1,"検出","不検出"))</f>
        <v/>
      </c>
      <c r="H104" s="188" t="str">
        <f>IF(OR(cnt_木瀬浄水!$BT$5=0,cnt_木瀬浄水!$BT$5=""),"",IF(演算タグ!L104=1,"検出","不検出"))</f>
        <v/>
      </c>
      <c r="I104" s="188" t="str">
        <f>IF(OR(cnt_木瀬児童!$BT$5=0,cnt_木瀬児童!$BT$5=""),"",IF(演算タグ!N104=1,"検出","不検出"))</f>
        <v/>
      </c>
      <c r="J104" s="188" t="str">
        <f>IF(OR(cnt_西中山送配水!$BT$5=0,cnt_西中山送配水!$BT$5=""),"",IF(演算タグ!P104=1,"検出","不検出"))</f>
        <v/>
      </c>
      <c r="K104" s="188" t="str">
        <f>IF(OR(cnt_西中山水質!$BT$5=0,cnt_西中山水質!$BT$5=""),"",IF(演算タグ!R104=1,"検出","不検出"))</f>
        <v/>
      </c>
      <c r="L104" s="188" t="str">
        <f>IF(OR(cnt_上川口!$BT$5=0,cnt_上川口!$BT$5=""),"",IF(演算タグ!T104=1,"検出","不検出"))</f>
        <v/>
      </c>
      <c r="M104" s="188" t="str">
        <f>IF(OR(cnt_折平!$BT$5=0,cnt_折平!$BT$5=""),"",IF(演算タグ!V104=1,"検出","不検出"))</f>
        <v/>
      </c>
      <c r="N104" s="187"/>
      <c r="O104" s="188"/>
      <c r="P104" s="187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2"/>
    </row>
    <row r="105" spans="1:34" ht="11.1" customHeight="1" thickBot="1">
      <c r="A105" s="218">
        <v>8</v>
      </c>
      <c r="B105" s="247" t="s">
        <v>71</v>
      </c>
      <c r="C105" s="248" t="s">
        <v>60</v>
      </c>
      <c r="D105" s="249" t="str">
        <f>IF(OR(cnt_藤岡北部第１!$BU$5=0,cnt_藤岡北部第１!$BU$5=""),"",IF(演算タグ!D105=1,"検出","不検出"))</f>
        <v/>
      </c>
      <c r="E105" s="249" t="str">
        <f>IF(OR(cnt_西市野々!$BU$5=0,cnt_西市野々!$BU$5=""),"",IF(演算タグ!F105=1,"検出","不検出"))</f>
        <v/>
      </c>
      <c r="F105" s="249" t="str">
        <f>IF(OR(cnt_藤岡北部第２!$BU$5=0,cnt_藤岡北部第２!$BU$5=""),"",IF(演算タグ!H105=1,"検出","不検出"))</f>
        <v/>
      </c>
      <c r="G105" s="249" t="str">
        <f>IF(OR(cnt_石畳!$BU$5=0,cnt_石畳!$BU$5=""),"",IF(演算タグ!J105=1,"検出","不検出"))</f>
        <v/>
      </c>
      <c r="H105" s="249" t="str">
        <f>IF(OR(cnt_木瀬浄水!$BU$5=0,cnt_木瀬浄水!$BU$5=""),"",IF(演算タグ!L105=1,"検出","不検出"))</f>
        <v/>
      </c>
      <c r="I105" s="249" t="str">
        <f>IF(OR(cnt_木瀬児童!$BU$5=0,cnt_木瀬児童!$BU$5=""),"",IF(演算タグ!N105=1,"検出","不検出"))</f>
        <v/>
      </c>
      <c r="J105" s="249" t="str">
        <f>IF(OR(cnt_西中山送配水!$BU$5=0,cnt_西中山送配水!$BU$5=""),"",IF(演算タグ!P105=1,"検出","不検出"))</f>
        <v/>
      </c>
      <c r="K105" s="249" t="str">
        <f>IF(OR(cnt_西中山水質!$BU$5=0,cnt_西中山水質!$BU$5=""),"",IF(演算タグ!R105=1,"検出","不検出"))</f>
        <v/>
      </c>
      <c r="L105" s="249" t="str">
        <f>IF(OR(cnt_上川口!$BU$5=0,cnt_上川口!$BU$5=""),"",IF(演算タグ!T105=1,"検出","不検出"))</f>
        <v/>
      </c>
      <c r="M105" s="249" t="str">
        <f>IF(OR(cnt_折平!$BU$5=0,cnt_折平!$BU$5=""),"",IF(演算タグ!V105=1,"検出","不検出"))</f>
        <v/>
      </c>
      <c r="N105" s="260"/>
      <c r="O105" s="249"/>
      <c r="P105" s="187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2"/>
    </row>
    <row r="106" spans="1:34" ht="11.1" customHeight="1"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</row>
    <row r="107" spans="1:34" ht="11.1" customHeight="1"/>
    <row r="108" spans="1:34" ht="11.1" customHeight="1"/>
    <row r="109" spans="1:34" ht="11.1" customHeight="1"/>
    <row r="110" spans="1:34" ht="11.1" customHeight="1"/>
    <row r="111" spans="1:34" ht="11.1" customHeight="1"/>
    <row r="112" spans="1:3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4" ht="11.1" customHeight="1" thickBot="1"/>
    <row r="130" spans="1:34" ht="11.1" customHeight="1" thickTop="1">
      <c r="A130" s="288">
        <f>EDATE(演算タグ!B1,-3)</f>
        <v>45748</v>
      </c>
      <c r="B130" s="288"/>
      <c r="C130" s="289">
        <f>演算タグ!B1</f>
        <v>45839</v>
      </c>
      <c r="D130" s="289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4"/>
      <c r="Q130" s="187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225"/>
      <c r="AH130" s="158"/>
    </row>
  </sheetData>
  <mergeCells count="30"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N4:N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20:O22 D32:O35 N40:O42">
    <cfRule type="containsText" dxfId="65" priority="1682" operator="containsText" text="0.001未満">
      <formula>NOT(ISERROR(SEARCH("0.001未満",D20)))</formula>
    </cfRule>
  </conditionalFormatting>
  <conditionalFormatting sqref="D38:H38 N38:O38 D25:O25 D30:O30 D44:O44">
    <cfRule type="containsText" dxfId="64" priority="2316" operator="containsText" text="0.001未満">
      <formula>NOT(ISERROR(SEARCH("0.001未満",D25)))</formula>
    </cfRule>
    <cfRule type="cellIs" dxfId="63" priority="2317" operator="greaterThan">
      <formula>#REF!</formula>
    </cfRule>
    <cfRule type="cellIs" dxfId="62" priority="2318" operator="greaterThan">
      <formula>#REF!</formula>
    </cfRule>
  </conditionalFormatting>
  <conditionalFormatting sqref="D40:H42">
    <cfRule type="containsText" dxfId="61" priority="1963" operator="containsText" text="0.001未満">
      <formula>NOT(ISERROR(SEARCH("0.001未満",D40)))</formula>
    </cfRule>
  </conditionalFormatting>
  <conditionalFormatting sqref="D17:I17">
    <cfRule type="beginsWith" dxfId="60" priority="1677" operator="beginsWith" text="検出">
      <formula>LEFT(D17,LEN("検出"))="検出"</formula>
    </cfRule>
  </conditionalFormatting>
  <conditionalFormatting sqref="D16:M105">
    <cfRule type="containsBlanks" dxfId="59" priority="548">
      <formula>LEN(TRIM(D16))=0</formula>
    </cfRule>
    <cfRule type="endsWith" dxfId="58" priority="549" operator="endsWith" text="未満">
      <formula>RIGHT(D16,LEN("未満"))="未満"</formula>
    </cfRule>
  </conditionalFormatting>
  <conditionalFormatting sqref="D62:O62">
    <cfRule type="cellIs" dxfId="57" priority="2329" operator="notBetween">
      <formula>#REF!</formula>
      <formula>#REF!</formula>
    </cfRule>
    <cfRule type="cellIs" dxfId="56" priority="2330" operator="greaterThan">
      <formula>#REF!</formula>
    </cfRule>
  </conditionalFormatting>
  <conditionalFormatting sqref="D63:M63">
    <cfRule type="containsText" dxfId="55" priority="1493" operator="containsText" text="あり">
      <formula>NOT(ISERROR(SEARCH("あり",D63)))</formula>
    </cfRule>
  </conditionalFormatting>
  <conditionalFormatting sqref="D64:M64">
    <cfRule type="expression" priority="546">
      <formula>D$64=""</formula>
    </cfRule>
    <cfRule type="notContainsText" dxfId="54" priority="1492" operator="notContains" text="異常なし">
      <formula>ISERROR(SEARCH("異常なし",D64))</formula>
    </cfRule>
  </conditionalFormatting>
  <conditionalFormatting sqref="D72:M72 D78:M79">
    <cfRule type="cellIs" dxfId="53" priority="2331" operator="greaterThan">
      <formula>#REF!</formula>
    </cfRule>
  </conditionalFormatting>
  <conditionalFormatting sqref="D82:M82">
    <cfRule type="cellIs" dxfId="52" priority="2334" operator="notBetween">
      <formula>#REF!</formula>
      <formula>#REF!</formula>
    </cfRule>
  </conditionalFormatting>
  <conditionalFormatting sqref="D89:M89">
    <cfRule type="cellIs" dxfId="51" priority="2336" operator="notBetween">
      <formula>#REF!</formula>
      <formula>#REF!</formula>
    </cfRule>
  </conditionalFormatting>
  <conditionalFormatting sqref="D96:M96">
    <cfRule type="cellIs" dxfId="50" priority="2338" operator="greaterThan">
      <formula>#REF!</formula>
    </cfRule>
  </conditionalFormatting>
  <conditionalFormatting sqref="D65:M67 D22:O22 D33:O35 D41:O42 D46:O61 N72:O72">
    <cfRule type="cellIs" dxfId="49" priority="2339" operator="greaterThan">
      <formula>#REF!</formula>
    </cfRule>
    <cfRule type="cellIs" dxfId="48" priority="2340" operator="greaterThan">
      <formula>#REF!</formula>
    </cfRule>
  </conditionalFormatting>
  <conditionalFormatting sqref="D70:M75 D78:M81 D83:M88 D90:M95">
    <cfRule type="cellIs" dxfId="47" priority="2333" operator="greaterThan">
      <formula>#REF!</formula>
    </cfRule>
  </conditionalFormatting>
  <conditionalFormatting sqref="D104:M105">
    <cfRule type="beginsWith" dxfId="46" priority="556" operator="beginsWith" text="検出">
      <formula>LEFT(D104,LEN("検出"))="検出"</formula>
    </cfRule>
  </conditionalFormatting>
  <conditionalFormatting sqref="D16:O16">
    <cfRule type="cellIs" dxfId="45" priority="2325" operator="greaterThan">
      <formula>#REF!</formula>
    </cfRule>
    <cfRule type="cellIs" dxfId="44" priority="2326" operator="greaterThan">
      <formula>#REF!</formula>
    </cfRule>
  </conditionalFormatting>
  <conditionalFormatting sqref="D18:O18">
    <cfRule type="containsText" dxfId="43" priority="2344" operator="containsText" text="0.0003未満">
      <formula>NOT(ISERROR(SEARCH("0.0003未満",D18)))</formula>
    </cfRule>
    <cfRule type="cellIs" dxfId="42" priority="2345" operator="greaterThan">
      <formula>#REF!</formula>
    </cfRule>
    <cfRule type="cellIs" dxfId="41" priority="2346" operator="greaterThan">
      <formula>#REF!</formula>
    </cfRule>
  </conditionalFormatting>
  <conditionalFormatting sqref="D19:O19">
    <cfRule type="containsText" dxfId="40" priority="2347" operator="containsText" text="0.00005未満">
      <formula>NOT(ISERROR(SEARCH("0.00005未満",D19)))</formula>
    </cfRule>
    <cfRule type="cellIs" dxfId="39" priority="2348" operator="greaterThan">
      <formula>#REF!</formula>
    </cfRule>
    <cfRule type="cellIs" dxfId="38" priority="2349" operator="greaterThan">
      <formula>#REF!</formula>
    </cfRule>
  </conditionalFormatting>
  <conditionalFormatting sqref="D20:O20">
    <cfRule type="cellIs" dxfId="37" priority="2350" operator="greaterThan">
      <formula>#REF!</formula>
    </cfRule>
    <cfRule type="cellIs" dxfId="36" priority="2351" operator="greaterThan">
      <formula>#REF!</formula>
    </cfRule>
  </conditionalFormatting>
  <conditionalFormatting sqref="D21:O21">
    <cfRule type="cellIs" dxfId="35" priority="2314" operator="greaterThan">
      <formula>#REF!</formula>
    </cfRule>
    <cfRule type="cellIs" dxfId="34" priority="2315" operator="greaterThan">
      <formula>#REF!</formula>
    </cfRule>
  </conditionalFormatting>
  <conditionalFormatting sqref="D23:O23">
    <cfRule type="containsText" dxfId="33" priority="2354" operator="containsText" text="0.005未満">
      <formula>NOT(ISERROR(SEARCH("0.005未満",D23)))</formula>
    </cfRule>
    <cfRule type="cellIs" dxfId="32" priority="2355" operator="greaterThan">
      <formula>#REF!</formula>
    </cfRule>
    <cfRule type="cellIs" dxfId="31" priority="2356" operator="greaterThan">
      <formula>#REF!</formula>
    </cfRule>
  </conditionalFormatting>
  <conditionalFormatting sqref="D24:O24 D31:O31">
    <cfRule type="containsText" dxfId="30" priority="2357" operator="containsText" text="0.004未満">
      <formula>NOT(ISERROR(SEARCH("0.004未満",D24)))</formula>
    </cfRule>
    <cfRule type="cellIs" dxfId="29" priority="2358" operator="greaterThan">
      <formula>#REF!</formula>
    </cfRule>
    <cfRule type="cellIs" dxfId="28" priority="2359" operator="greaterThan">
      <formula>#REF!</formula>
    </cfRule>
  </conditionalFormatting>
  <conditionalFormatting sqref="D26:O26">
    <cfRule type="containsText" dxfId="27" priority="2363" operator="containsText" text="0.02未満">
      <formula>NOT(ISERROR(SEARCH("0.02未満",D26)))</formula>
    </cfRule>
    <cfRule type="cellIs" dxfId="26" priority="2364" operator="greaterThan">
      <formula>#REF!</formula>
    </cfRule>
    <cfRule type="cellIs" dxfId="25" priority="2365" operator="greaterThan">
      <formula>#REF!</formula>
    </cfRule>
  </conditionalFormatting>
  <conditionalFormatting sqref="D27:O27">
    <cfRule type="containsText" dxfId="24" priority="2366" operator="containsText" text="0.05未満">
      <formula>NOT(ISERROR(SEARCH("0.05未満",D27)))</formula>
    </cfRule>
    <cfRule type="cellIs" dxfId="23" priority="2367" operator="greaterThan">
      <formula>#REF!</formula>
    </cfRule>
    <cfRule type="cellIs" dxfId="22" priority="2368" operator="greaterThan">
      <formula>#REF!</formula>
    </cfRule>
  </conditionalFormatting>
  <conditionalFormatting sqref="D28:O28">
    <cfRule type="containsText" dxfId="21" priority="2369" operator="containsText" text="0.01未満">
      <formula>NOT(ISERROR(SEARCH("0.01未満",D28)))</formula>
    </cfRule>
    <cfRule type="cellIs" dxfId="20" priority="2370" operator="greaterThan">
      <formula>#REF!</formula>
    </cfRule>
    <cfRule type="cellIs" dxfId="19" priority="2371" operator="greaterThan">
      <formula>#REF!</formula>
    </cfRule>
  </conditionalFormatting>
  <conditionalFormatting sqref="D29:O29">
    <cfRule type="containsText" dxfId="18" priority="2372" operator="containsText" text="0.0002未満">
      <formula>NOT(ISERROR(SEARCH("0.0002未満",D29)))</formula>
    </cfRule>
    <cfRule type="cellIs" dxfId="17" priority="2373" operator="greaterThan">
      <formula>#REF!</formula>
    </cfRule>
    <cfRule type="cellIs" dxfId="16" priority="2374" operator="greaterThan">
      <formula>#REF!</formula>
    </cfRule>
  </conditionalFormatting>
  <conditionalFormatting sqref="D32:O32 D40:O40 D45:O45">
    <cfRule type="cellIs" dxfId="15" priority="2381" operator="greaterThan">
      <formula>#REF!</formula>
    </cfRule>
    <cfRule type="cellIs" dxfId="14" priority="2382" operator="greaterThan">
      <formula>#REF!</formula>
    </cfRule>
  </conditionalFormatting>
  <conditionalFormatting sqref="D36:O36">
    <cfRule type="containsText" dxfId="13" priority="2389" operator="containsText" text="0.05未満">
      <formula>NOT(ISERROR(SEARCH("0.05未満",D36)))</formula>
    </cfRule>
    <cfRule type="cellIs" dxfId="12" priority="2390" operator="greaterThan">
      <formula>#REF!</formula>
    </cfRule>
    <cfRule type="cellIs" dxfId="11" priority="2391" operator="greaterThan">
      <formula>#REF!</formula>
    </cfRule>
  </conditionalFormatting>
  <conditionalFormatting sqref="D37:O37 D43:O43">
    <cfRule type="containsText" dxfId="10" priority="2392" operator="containsText" text="0.002未満">
      <formula>NOT(ISERROR(SEARCH("0.002未満",D37)))</formula>
    </cfRule>
    <cfRule type="cellIs" dxfId="9" priority="2393" operator="greaterThan">
      <formula>#REF!</formula>
    </cfRule>
    <cfRule type="cellIs" dxfId="8" priority="2394" operator="greaterThan">
      <formula>#REF!</formula>
    </cfRule>
  </conditionalFormatting>
  <conditionalFormatting sqref="D39:O39">
    <cfRule type="containsText" dxfId="7" priority="571" operator="containsText" text="0.002未満">
      <formula>NOT(ISERROR(SEARCH("0.002未満",D39)))</formula>
    </cfRule>
    <cfRule type="cellIs" dxfId="6" priority="2327" operator="greaterThan">
      <formula>#REF!</formula>
    </cfRule>
    <cfRule type="cellIs" dxfId="5" priority="2328" operator="greaterThan">
      <formula>#REF!</formula>
    </cfRule>
  </conditionalFormatting>
  <conditionalFormatting sqref="G21:H21">
    <cfRule type="containsText" dxfId="4" priority="1679" operator="containsText" text="0.001未満">
      <formula>NOT(ISERROR(SEARCH("0.001未満",G21)))</formula>
    </cfRule>
  </conditionalFormatting>
  <conditionalFormatting sqref="I38:M38">
    <cfRule type="cellIs" dxfId="3" priority="2435" operator="greaterThan">
      <formula>#REF!</formula>
    </cfRule>
    <cfRule type="cellIs" dxfId="2" priority="2436" operator="greaterThan">
      <formula>#REF!</formula>
    </cfRule>
  </conditionalFormatting>
  <conditionalFormatting sqref="I38:M42">
    <cfRule type="containsText" dxfId="1" priority="1507" operator="containsText" text="0.001未満">
      <formula>NOT(ISERROR(SEARCH("0.001未満",I38)))</formula>
    </cfRule>
  </conditionalFormatting>
  <conditionalFormatting sqref="J17:M17">
    <cfRule type="beginsWith" dxfId="0" priority="3" operator="beginsWith" text="検出">
      <formula>LEFT(J17,LEN("検出"))="検出"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1" t="s">
        <v>373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1" t="s">
        <v>373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1" t="s">
        <v>373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1" t="s">
        <v>373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356" t="s">
        <v>180</v>
      </c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</row>
    <row r="2" spans="1:35" ht="18.600000000000001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59" t="s">
        <v>378</v>
      </c>
      <c r="AI3" s="267"/>
    </row>
    <row r="4" spans="1:35" ht="18.600000000000001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60"/>
      <c r="AI4" s="267"/>
    </row>
    <row r="5" spans="1:35" ht="18.600000000000001" thickBot="1">
      <c r="A5" t="s">
        <v>184</v>
      </c>
      <c r="B5">
        <v>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600000000000001" thickBot="1">
      <c r="A6" t="s">
        <v>185</v>
      </c>
      <c r="AH6" s="268">
        <f>INDEX(C41:AG41,MATCH(MAX(C41:AG41)+1,C41:AG41,1))</f>
        <v>1</v>
      </c>
      <c r="AI6" s="268">
        <f>AH6*1</f>
        <v>1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406</v>
      </c>
      <c r="D34" t="s">
        <v>407</v>
      </c>
      <c r="E34" t="s">
        <v>408</v>
      </c>
      <c r="F34" t="s">
        <v>407</v>
      </c>
      <c r="G34" t="s">
        <v>409</v>
      </c>
      <c r="H34" t="s">
        <v>409</v>
      </c>
      <c r="I34" t="s">
        <v>410</v>
      </c>
      <c r="J34" t="s">
        <v>407</v>
      </c>
      <c r="K34" t="s">
        <v>406</v>
      </c>
      <c r="L34" t="s">
        <v>409</v>
      </c>
      <c r="M34" t="s">
        <v>407</v>
      </c>
      <c r="N34" t="s">
        <v>409</v>
      </c>
      <c r="O34" t="s">
        <v>409</v>
      </c>
      <c r="P34" t="s">
        <v>411</v>
      </c>
      <c r="Q34" t="s">
        <v>412</v>
      </c>
      <c r="R34" t="s">
        <v>410</v>
      </c>
      <c r="S34" t="s">
        <v>412</v>
      </c>
      <c r="T34" t="s">
        <v>413</v>
      </c>
      <c r="U34" t="s">
        <v>409</v>
      </c>
      <c r="V34" t="s">
        <v>409</v>
      </c>
      <c r="W34" t="s">
        <v>409</v>
      </c>
      <c r="X34" t="s">
        <v>409</v>
      </c>
      <c r="Y34" t="s">
        <v>406</v>
      </c>
      <c r="Z34" t="s">
        <v>409</v>
      </c>
      <c r="AA34" t="s">
        <v>414</v>
      </c>
      <c r="AB34" t="s">
        <v>409</v>
      </c>
      <c r="AC34" t="s">
        <v>414</v>
      </c>
      <c r="AD34" t="s">
        <v>414</v>
      </c>
      <c r="AE34" t="s">
        <v>414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126" t="str">
        <f t="shared" si="0"/>
        <v>曇</v>
      </c>
      <c r="F37" s="126" t="str">
        <f t="shared" si="0"/>
        <v>曇|晴</v>
      </c>
      <c r="G37" s="126" t="str">
        <f t="shared" si="0"/>
        <v>晴|曇</v>
      </c>
      <c r="H37" s="126" t="str">
        <f t="shared" si="0"/>
        <v>晴|曇</v>
      </c>
      <c r="I37" s="126" t="str">
        <f t="shared" si="0"/>
        <v>曇|雨</v>
      </c>
      <c r="J37" s="126" t="str">
        <f t="shared" si="0"/>
        <v>曇|晴</v>
      </c>
      <c r="K37" s="126" t="str">
        <f t="shared" si="0"/>
        <v>晴/曇</v>
      </c>
      <c r="L37" s="126" t="str">
        <f t="shared" si="0"/>
        <v>晴|曇</v>
      </c>
      <c r="M37" s="126" t="str">
        <f t="shared" si="0"/>
        <v>曇|晴</v>
      </c>
      <c r="N37" s="126" t="str">
        <f t="shared" si="0"/>
        <v>晴|曇</v>
      </c>
      <c r="O37" s="126" t="str">
        <f t="shared" si="0"/>
        <v>晴|曇</v>
      </c>
      <c r="P37" s="126" t="str">
        <f t="shared" si="0"/>
        <v>晴/雨</v>
      </c>
      <c r="Q37" s="126" t="str">
        <f t="shared" si="0"/>
        <v>雨/曇</v>
      </c>
      <c r="R37" s="126" t="str">
        <f t="shared" si="0"/>
        <v>曇|雨</v>
      </c>
      <c r="S37" s="126" t="str">
        <f t="shared" si="0"/>
        <v>雨/曇</v>
      </c>
      <c r="T37" s="126" t="str">
        <f t="shared" si="0"/>
        <v>雨/晴</v>
      </c>
      <c r="U37" s="126" t="str">
        <f t="shared" si="0"/>
        <v>晴|曇</v>
      </c>
      <c r="V37" s="126" t="str">
        <f t="shared" si="0"/>
        <v>晴|曇</v>
      </c>
      <c r="W37" s="126" t="str">
        <f t="shared" si="0"/>
        <v>晴|曇</v>
      </c>
      <c r="X37" s="126" t="str">
        <f t="shared" si="0"/>
        <v>晴|曇</v>
      </c>
      <c r="Y37" s="126" t="str">
        <f t="shared" si="0"/>
        <v>晴/曇</v>
      </c>
      <c r="Z37" s="126" t="str">
        <f t="shared" si="0"/>
        <v>晴|曇</v>
      </c>
      <c r="AA37" s="126" t="str">
        <f t="shared" si="0"/>
        <v>晴</v>
      </c>
      <c r="AB37" s="126" t="str">
        <f t="shared" si="0"/>
        <v>晴|曇</v>
      </c>
      <c r="AC37" s="126" t="str">
        <f t="shared" si="0"/>
        <v>晴</v>
      </c>
      <c r="AD37" s="126" t="str">
        <f t="shared" si="0"/>
        <v>晴</v>
      </c>
      <c r="AE37" s="126" t="str">
        <f t="shared" si="0"/>
        <v>晴</v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66"/>
      <c r="C41" s="126">
        <f>IF(C37="","",VLOOKUP(C37,変換!$B$31:$C$58,2,FALSE))</f>
        <v>5</v>
      </c>
      <c r="D41" s="126">
        <f>IF(D37="","",VLOOKUP(D37,変換!$B$31:$C$58,2,FALSE))</f>
        <v>20</v>
      </c>
      <c r="E41" s="126">
        <f>IF(E37="","",VLOOKUP(E37,変換!$B$31:$C$58,2,FALSE))</f>
        <v>2</v>
      </c>
      <c r="F41" s="126">
        <f>IF(F37="","",VLOOKUP(F37,変換!$B$31:$C$58,2,FALSE))</f>
        <v>20</v>
      </c>
      <c r="G41" s="126">
        <f>IF(G37="","",VLOOKUP(G37,変換!$B$31:$C$58,2,FALSE))</f>
        <v>17</v>
      </c>
      <c r="H41" s="126">
        <f>IF(H37="","",VLOOKUP(H37,変換!$B$31:$C$58,2,FALSE))</f>
        <v>17</v>
      </c>
      <c r="I41" s="126">
        <f>IF(I37="","",VLOOKUP(I37,変換!$B$31:$C$58,2,FALSE))</f>
        <v>21</v>
      </c>
      <c r="J41" s="126">
        <f>IF(J37="","",VLOOKUP(J37,変換!$B$31:$C$58,2,FALSE))</f>
        <v>20</v>
      </c>
      <c r="K41" s="126">
        <f>IF(K37="","",VLOOKUP(K37,変換!$B$31:$C$58,2,FALSE))</f>
        <v>5</v>
      </c>
      <c r="L41" s="126">
        <f>IF(L37="","",VLOOKUP(L37,変換!$B$31:$C$58,2,FALSE))</f>
        <v>17</v>
      </c>
      <c r="M41" s="126">
        <f>IF(M37="","",VLOOKUP(M37,変換!$B$31:$C$58,2,FALSE))</f>
        <v>20</v>
      </c>
      <c r="N41" s="126">
        <f>IF(N37="","",VLOOKUP(N37,変換!$B$31:$C$58,2,FALSE))</f>
        <v>17</v>
      </c>
      <c r="O41" s="126">
        <f>IF(O37="","",VLOOKUP(O37,変換!$B$31:$C$58,2,FALSE))</f>
        <v>17</v>
      </c>
      <c r="P41" s="126">
        <f>IF(P37="","",VLOOKUP(P37,変換!$B$31:$C$58,2,FALSE))</f>
        <v>6</v>
      </c>
      <c r="Q41" s="126">
        <f>IF(Q37="","",VLOOKUP(Q37,変換!$B$31:$C$58,2,FALSE))</f>
        <v>12</v>
      </c>
      <c r="R41" s="126">
        <f>IF(R37="","",VLOOKUP(R37,変換!$B$31:$C$58,2,FALSE))</f>
        <v>21</v>
      </c>
      <c r="S41" s="126">
        <f>IF(S37="","",VLOOKUP(S37,変換!$B$31:$C$58,2,FALSE))</f>
        <v>12</v>
      </c>
      <c r="T41" s="126">
        <f>IF(T37="","",VLOOKUP(T37,変換!$B$31:$C$58,2,FALSE))</f>
        <v>11</v>
      </c>
      <c r="U41" s="126">
        <f>IF(U37="","",VLOOKUP(U37,変換!$B$31:$C$58,2,FALSE))</f>
        <v>17</v>
      </c>
      <c r="V41" s="126">
        <f>IF(V37="","",VLOOKUP(V37,変換!$B$31:$C$58,2,FALSE))</f>
        <v>17</v>
      </c>
      <c r="W41" s="126">
        <f>IF(W37="","",VLOOKUP(W37,変換!$B$31:$C$58,2,FALSE))</f>
        <v>17</v>
      </c>
      <c r="X41" s="126">
        <f>IF(X37="","",VLOOKUP(X37,変換!$B$31:$C$58,2,FALSE))</f>
        <v>17</v>
      </c>
      <c r="Y41" s="126">
        <f>IF(Y37="","",VLOOKUP(Y37,変換!$B$31:$C$58,2,FALSE))</f>
        <v>5</v>
      </c>
      <c r="Z41" s="126">
        <f>IF(Z37="","",VLOOKUP(Z37,変換!$B$31:$C$58,2,FALSE))</f>
        <v>17</v>
      </c>
      <c r="AA41" s="126">
        <f>IF(AA37="","",VLOOKUP(AA37,変換!$B$31:$C$58,2,FALSE))</f>
        <v>1</v>
      </c>
      <c r="AB41" s="126">
        <f>IF(AB37="","",VLOOKUP(AB37,変換!$B$31:$C$58,2,FALSE))</f>
        <v>17</v>
      </c>
      <c r="AC41" s="126">
        <f>IF(AC37="","",VLOOKUP(AC37,変換!$B$31:$C$58,2,FALSE))</f>
        <v>1</v>
      </c>
      <c r="AD41" s="126">
        <f>IF(AD37="","",VLOOKUP(AD37,変換!$B$31:$C$58,2,FALSE))</f>
        <v>1</v>
      </c>
      <c r="AE41" s="126">
        <f>IF(AE37="","",VLOOKUP(AE37,変換!$B$31:$C$58,2,FALSE))</f>
        <v>1</v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61" t="s">
        <v>380</v>
      </c>
      <c r="B30" s="361"/>
      <c r="C30" s="36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600000000000001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2.6"/>
  <cols>
    <col min="1" max="1" width="3.09765625" style="1" customWidth="1"/>
    <col min="2" max="2" width="21.69921875" style="1" customWidth="1"/>
    <col min="3" max="3" width="6" style="1" customWidth="1"/>
    <col min="4" max="25" width="9.69921875" style="2" customWidth="1"/>
    <col min="26" max="42" width="5.59765625" style="62" hidden="1" customWidth="1"/>
    <col min="43" max="43" width="11.59765625" style="3" hidden="1" customWidth="1"/>
    <col min="44" max="44" width="3.09765625" style="3" customWidth="1"/>
    <col min="45" max="45" width="27.59765625" style="1" bestFit="1" customWidth="1"/>
    <col min="46" max="16384" width="9" style="1"/>
  </cols>
  <sheetData>
    <row r="1" spans="1:47" ht="9">
      <c r="B1" s="1">
        <v>45839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0.8">
      <c r="A2" s="344"/>
      <c r="B2" s="344"/>
      <c r="C2" s="345"/>
      <c r="D2" s="345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99999999999999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3" t="s">
        <v>87</v>
      </c>
      <c r="D4" s="346" t="s">
        <v>349</v>
      </c>
      <c r="E4" s="347"/>
      <c r="F4" s="350" t="s">
        <v>354</v>
      </c>
      <c r="G4" s="351"/>
      <c r="H4" s="350" t="s">
        <v>357</v>
      </c>
      <c r="I4" s="354"/>
      <c r="J4" s="328" t="s">
        <v>361</v>
      </c>
      <c r="K4" s="329"/>
      <c r="L4" s="328" t="s">
        <v>365</v>
      </c>
      <c r="M4" s="329"/>
      <c r="N4" s="328" t="s">
        <v>370</v>
      </c>
      <c r="O4" s="329"/>
      <c r="P4" s="324" t="s">
        <v>392</v>
      </c>
      <c r="Q4" s="325"/>
      <c r="R4" s="324" t="s">
        <v>393</v>
      </c>
      <c r="S4" s="325"/>
      <c r="T4" s="324" t="s">
        <v>394</v>
      </c>
      <c r="U4" s="325"/>
      <c r="V4" s="324" t="s">
        <v>403</v>
      </c>
      <c r="W4" s="325"/>
      <c r="X4" s="328"/>
      <c r="Y4" s="34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48"/>
      <c r="E5" s="349"/>
      <c r="F5" s="352"/>
      <c r="G5" s="353"/>
      <c r="H5" s="352"/>
      <c r="I5" s="355"/>
      <c r="J5" s="330"/>
      <c r="K5" s="331"/>
      <c r="L5" s="330"/>
      <c r="M5" s="331"/>
      <c r="N5" s="330"/>
      <c r="O5" s="331"/>
      <c r="P5" s="326"/>
      <c r="Q5" s="327"/>
      <c r="R5" s="326"/>
      <c r="S5" s="327"/>
      <c r="T5" s="326"/>
      <c r="U5" s="327"/>
      <c r="V5" s="326"/>
      <c r="W5" s="327"/>
      <c r="X5" s="330"/>
      <c r="Y5" s="343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4" t="s">
        <v>88</v>
      </c>
      <c r="D6" s="334" t="s">
        <v>351</v>
      </c>
      <c r="E6" s="113"/>
      <c r="F6" s="336" t="s">
        <v>355</v>
      </c>
      <c r="G6" s="118"/>
      <c r="H6" s="338" t="s">
        <v>360</v>
      </c>
      <c r="I6" s="113"/>
      <c r="J6" s="332" t="s">
        <v>362</v>
      </c>
      <c r="K6" s="113"/>
      <c r="L6" s="338" t="s">
        <v>368</v>
      </c>
      <c r="M6" s="113"/>
      <c r="N6" s="332" t="s">
        <v>371</v>
      </c>
      <c r="O6" s="113"/>
      <c r="P6" s="300"/>
      <c r="Q6" s="279"/>
      <c r="R6" s="298"/>
      <c r="S6" s="279"/>
      <c r="T6" s="314"/>
      <c r="U6" s="279"/>
      <c r="V6" s="312"/>
      <c r="W6" s="279"/>
      <c r="X6" s="340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35"/>
      <c r="E7" s="112" t="s">
        <v>124</v>
      </c>
      <c r="F7" s="337"/>
      <c r="G7" s="119" t="s">
        <v>124</v>
      </c>
      <c r="H7" s="339"/>
      <c r="I7" s="112" t="s">
        <v>124</v>
      </c>
      <c r="J7" s="333"/>
      <c r="K7" s="112" t="s">
        <v>124</v>
      </c>
      <c r="L7" s="339"/>
      <c r="M7" s="112" t="s">
        <v>124</v>
      </c>
      <c r="N7" s="333"/>
      <c r="O7" s="112" t="s">
        <v>124</v>
      </c>
      <c r="P7" s="301"/>
      <c r="Q7" s="280" t="s">
        <v>124</v>
      </c>
      <c r="R7" s="299"/>
      <c r="S7" s="280" t="s">
        <v>124</v>
      </c>
      <c r="T7" s="315"/>
      <c r="U7" s="280" t="s">
        <v>124</v>
      </c>
      <c r="V7" s="313"/>
      <c r="W7" s="280" t="s">
        <v>124</v>
      </c>
      <c r="X7" s="341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38">
        <v>20250708</v>
      </c>
      <c r="E9" s="114" t="str">
        <f>IF(手入力!C3="",REPLACE(D9,5,0,"/"),REPLACE(手入力!C3,5,0,"/"))</f>
        <v>2025/0708</v>
      </c>
      <c r="F9" s="38">
        <v>20250708</v>
      </c>
      <c r="G9" s="114" t="str">
        <f>IF(手入力!D3="",REPLACE(F9,5,0,"/"),REPLACE(手入力!D3,5,0,"/"))</f>
        <v>2025/0708</v>
      </c>
      <c r="H9" s="38">
        <v>20250708</v>
      </c>
      <c r="I9" s="114" t="str">
        <f>IF(手入力!E3="",REPLACE(H9,5,0,"/"),REPLACE(手入力!E3,5,0,"/"))</f>
        <v>2025/0708</v>
      </c>
      <c r="J9" s="38">
        <v>20250708</v>
      </c>
      <c r="K9" s="114" t="str">
        <f>IF(手入力!F3="",REPLACE(J9,5,0,"/"),REPLACE(手入力!F3,5,0,"/"))</f>
        <v>2025/0708</v>
      </c>
      <c r="L9" s="38">
        <v>20250708</v>
      </c>
      <c r="M9" s="114" t="str">
        <f>IF(手入力!G3="",REPLACE(L9,5,0,"/"),REPLACE(手入力!G3,5,0,"/"))</f>
        <v>2025/0708</v>
      </c>
      <c r="N9" s="38">
        <v>20250708</v>
      </c>
      <c r="O9" s="114" t="str">
        <f>IF(手入力!H3="",REPLACE(N9,5,0,"/"),REPLACE(手入力!H3,5,0,"/"))</f>
        <v>2025/0708</v>
      </c>
      <c r="P9" s="252">
        <v>20250709</v>
      </c>
      <c r="Q9" s="281" t="str">
        <f>IF(手入力!I3="",REPLACE(P9,5,0,"/"),REPLACE(手入力!I3,5,0,"/"))</f>
        <v>2025/0709</v>
      </c>
      <c r="R9" s="252">
        <v>20250709</v>
      </c>
      <c r="S9" s="281" t="str">
        <f>IF(手入力!J3="",REPLACE(R9,5,0,"/"),REPLACE(手入力!J3,5,0,"/"))</f>
        <v>2025/0709</v>
      </c>
      <c r="T9" s="252">
        <v>20250709</v>
      </c>
      <c r="U9" s="281" t="str">
        <f>IF(手入力!K3="",REPLACE(T9,5,0,"/"),REPLACE(手入力!K3,5,0,"/"))</f>
        <v>2025/0709</v>
      </c>
      <c r="V9" s="252">
        <v>20250709</v>
      </c>
      <c r="W9" s="281" t="str">
        <f>IF(手入力!L3="",REPLACE(V9,5,0,"/"),REPLACE(手入力!L3,5,0,"/"))</f>
        <v>2025/0709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>
      <c r="A10" s="23">
        <v>2</v>
      </c>
      <c r="B10" s="24" t="s">
        <v>81</v>
      </c>
      <c r="C10" s="25" t="s">
        <v>75</v>
      </c>
      <c r="D10" s="41">
        <v>935</v>
      </c>
      <c r="E10" s="111" t="str">
        <f>TEXT(D10,"0000")</f>
        <v>0935</v>
      </c>
      <c r="F10" s="40">
        <v>1008</v>
      </c>
      <c r="G10" s="111" t="str">
        <f>TEXT(F10,"0000")</f>
        <v>1008</v>
      </c>
      <c r="H10" s="40">
        <v>952</v>
      </c>
      <c r="I10" s="111" t="str">
        <f>TEXT(H10,"0000")</f>
        <v>0952</v>
      </c>
      <c r="J10" s="40">
        <v>1020</v>
      </c>
      <c r="K10" s="111" t="str">
        <f>TEXT(J10,"0000")</f>
        <v>1020</v>
      </c>
      <c r="L10" s="40">
        <v>918</v>
      </c>
      <c r="M10" s="111" t="str">
        <f>TEXT(L10,"0000")</f>
        <v>0918</v>
      </c>
      <c r="N10" s="40">
        <v>908</v>
      </c>
      <c r="O10" s="111" t="str">
        <f>TEXT(N10,"0000")</f>
        <v>0908</v>
      </c>
      <c r="P10" s="188">
        <v>927</v>
      </c>
      <c r="Q10" s="282" t="str">
        <f>TEXT(P10,"0000")</f>
        <v>0927</v>
      </c>
      <c r="R10" s="188">
        <v>943</v>
      </c>
      <c r="S10" s="282" t="str">
        <f>TEXT(R10,"0000")</f>
        <v>0943</v>
      </c>
      <c r="T10" s="188">
        <v>844</v>
      </c>
      <c r="U10" s="282" t="str">
        <f>TEXT(T10,"0000")</f>
        <v>0844</v>
      </c>
      <c r="V10" s="188">
        <v>904</v>
      </c>
      <c r="W10" s="282" t="str">
        <f>TEXT(V10,"0000")</f>
        <v>0904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曇|雨</v>
      </c>
      <c r="E11" s="40">
        <f>IF(E9=0,"",(RIGHT(E9,2))-1)</f>
        <v>7</v>
      </c>
      <c r="F11" s="40" t="str">
        <f>IF(F$9=0,"",HLOOKUP(G11,天気タグ!$B$3:$AG$39,35))</f>
        <v>曇|雨</v>
      </c>
      <c r="G11" s="40">
        <f>IF(G9=0,"",(RIGHT(G9,2))-1)</f>
        <v>7</v>
      </c>
      <c r="H11" s="40" t="str">
        <f>IF(H$9=0,"",HLOOKUP(I11,天気タグ!$B$3:$AG$39,35))</f>
        <v>曇|雨</v>
      </c>
      <c r="I11" s="40">
        <f>IF(I9=0,"",(RIGHT(I9,2))-1)</f>
        <v>7</v>
      </c>
      <c r="J11" s="40" t="str">
        <f>IF(J$9=0,"",HLOOKUP(K11,天気タグ!$B$3:$AG$39,35))</f>
        <v>曇|雨</v>
      </c>
      <c r="K11" s="40">
        <f>IF(K9=0,"",(RIGHT(K9,2))-1)</f>
        <v>7</v>
      </c>
      <c r="L11" s="40" t="str">
        <f>IF(L$9=0,"",HLOOKUP(M11,天気タグ!$B$3:$AG$39,35))</f>
        <v>曇|雨</v>
      </c>
      <c r="M11" s="40">
        <f>IF(M9=0,"",(RIGHT(M9,2))-1)</f>
        <v>7</v>
      </c>
      <c r="N11" s="40" t="str">
        <f>IF(N$9=0,"",HLOOKUP(O11,天気タグ!$B$3:$AG$39,35))</f>
        <v>曇|雨</v>
      </c>
      <c r="O11" s="40">
        <f>IF(O9=0,"",(RIGHT(O9,2))-1)</f>
        <v>7</v>
      </c>
      <c r="P11" s="188" t="str">
        <f>IF(P$9=0,"",HLOOKUP(Q11,天気タグ!$B$3:$AG$39,35))</f>
        <v>曇|晴</v>
      </c>
      <c r="Q11" s="188">
        <f>IF(Q9=0,"",(RIGHT(Q9,2))-1)</f>
        <v>8</v>
      </c>
      <c r="R11" s="188" t="str">
        <f>IF(R$9=0,"",HLOOKUP(S11,天気タグ!$B$3:$AG$39,35))</f>
        <v>曇|晴</v>
      </c>
      <c r="S11" s="188">
        <f>IF(S9=0,"",(RIGHT(S9,2))-1)</f>
        <v>8</v>
      </c>
      <c r="T11" s="188" t="str">
        <f>IF(T$9=0,"",HLOOKUP(U11,天気タグ!$B$3:$AG$39,35))</f>
        <v>曇|晴</v>
      </c>
      <c r="U11" s="188">
        <f>IF(U9=0,"",(RIGHT(U9,2))-1)</f>
        <v>8</v>
      </c>
      <c r="V11" s="188" t="str">
        <f>IF(V$9=0,"",HLOOKUP(W11,天気タグ!$B$3:$AG$39,35))</f>
        <v>曇|晴</v>
      </c>
      <c r="W11" s="188">
        <f>IF(W9=0,"",(RIGHT(W9,2))-1)</f>
        <v>8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曇|晴</v>
      </c>
      <c r="E12" s="40">
        <f>IF(E9=0,"",RIGHT(E9,2)*1)</f>
        <v>8</v>
      </c>
      <c r="F12" s="40" t="str">
        <f>IF(F$9=0,"",HLOOKUP(G12,天気タグ!$B$3:$AG$39,35))</f>
        <v>曇|晴</v>
      </c>
      <c r="G12" s="40">
        <f>IF(G9=0,"",RIGHT(G9,2)*1)</f>
        <v>8</v>
      </c>
      <c r="H12" s="40" t="str">
        <f>IF(H$9=0,"",HLOOKUP(I12,天気タグ!$B$3:$AG$39,35))</f>
        <v>曇|晴</v>
      </c>
      <c r="I12" s="40">
        <f>IF(I9=0,"",RIGHT(I9,2)*1)</f>
        <v>8</v>
      </c>
      <c r="J12" s="40" t="str">
        <f>IF(J$9=0,"",HLOOKUP(K12,天気タグ!$B$3:$AG$39,35))</f>
        <v>曇|晴</v>
      </c>
      <c r="K12" s="40">
        <f>IF(K9=0,"",RIGHT(K9,2)*1)</f>
        <v>8</v>
      </c>
      <c r="L12" s="40" t="str">
        <f>IF(L$9=0,"",HLOOKUP(M12,天気タグ!$B$3:$AG$39,35))</f>
        <v>曇|晴</v>
      </c>
      <c r="M12" s="40">
        <f>IF(M9=0,"",RIGHT(M9,2)*1)</f>
        <v>8</v>
      </c>
      <c r="N12" s="40" t="str">
        <f>IF(N$9=0,"",HLOOKUP(O12,天気タグ!$B$3:$AG$39,35))</f>
        <v>曇|晴</v>
      </c>
      <c r="O12" s="40">
        <f>IF(O9=0,"",RIGHT(O9,2)*1)</f>
        <v>8</v>
      </c>
      <c r="P12" s="188" t="str">
        <f>IF(P$9=0,"",HLOOKUP(Q12,天気タグ!$B$3:$AG$39,35))</f>
        <v>晴/曇</v>
      </c>
      <c r="Q12" s="188">
        <f>IF(Q9=0,"",RIGHT(Q9,2)*1)</f>
        <v>9</v>
      </c>
      <c r="R12" s="188" t="str">
        <f>IF(R$9=0,"",HLOOKUP(S12,天気タグ!$B$3:$AG$39,35))</f>
        <v>晴/曇</v>
      </c>
      <c r="S12" s="188">
        <f>IF(S9=0,"",RIGHT(S9,2)*1)</f>
        <v>9</v>
      </c>
      <c r="T12" s="188" t="str">
        <f>IF(T$9=0,"",HLOOKUP(U12,天気タグ!$B$3:$AG$39,35))</f>
        <v>晴/曇</v>
      </c>
      <c r="U12" s="188">
        <f>IF(U9=0,"",RIGHT(U9,2)*1)</f>
        <v>9</v>
      </c>
      <c r="V12" s="188" t="str">
        <f>IF(V$9=0,"",HLOOKUP(W12,天気タグ!$B$3:$AG$39,35))</f>
        <v>晴/曇</v>
      </c>
      <c r="W12" s="188">
        <f>IF(W9=0,"",RIGHT(W9,2)*1)</f>
        <v>9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27.2</v>
      </c>
      <c r="E13" s="28"/>
      <c r="F13" s="28">
        <v>30.5</v>
      </c>
      <c r="G13" s="28"/>
      <c r="H13" s="28">
        <v>30.2</v>
      </c>
      <c r="I13" s="40"/>
      <c r="J13" s="28">
        <v>31.8</v>
      </c>
      <c r="K13" s="28"/>
      <c r="L13" s="28">
        <v>30.8</v>
      </c>
      <c r="M13" s="28"/>
      <c r="N13" s="28">
        <v>29.8</v>
      </c>
      <c r="O13" s="28"/>
      <c r="P13" s="191">
        <v>29.5</v>
      </c>
      <c r="Q13" s="191"/>
      <c r="R13" s="191">
        <v>32.5</v>
      </c>
      <c r="S13" s="191"/>
      <c r="T13" s="191">
        <v>30.5</v>
      </c>
      <c r="U13" s="191"/>
      <c r="V13" s="191">
        <v>28.2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21.9</v>
      </c>
      <c r="E14" s="33"/>
      <c r="F14" s="34">
        <v>25.2</v>
      </c>
      <c r="G14" s="34"/>
      <c r="H14" s="34">
        <v>24.2</v>
      </c>
      <c r="I14" s="34"/>
      <c r="J14" s="34">
        <v>26.4</v>
      </c>
      <c r="K14" s="34"/>
      <c r="L14" s="34">
        <v>23.4</v>
      </c>
      <c r="M14" s="34"/>
      <c r="N14" s="34">
        <v>27.9</v>
      </c>
      <c r="O14" s="34"/>
      <c r="P14" s="199">
        <v>23.3</v>
      </c>
      <c r="Q14" s="199"/>
      <c r="R14" s="199">
        <v>26.8</v>
      </c>
      <c r="S14" s="199"/>
      <c r="T14" s="199">
        <v>22.1</v>
      </c>
      <c r="U14" s="199"/>
      <c r="V14" s="199">
        <v>26.5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282" t="e">
        <f>P18/1000</f>
        <v>#VALUE!</v>
      </c>
      <c r="R18" s="188" t="s">
        <v>405</v>
      </c>
      <c r="S18" s="282" t="e">
        <f>R18/1000</f>
        <v>#VALUE!</v>
      </c>
      <c r="T18" s="188" t="s">
        <v>405</v>
      </c>
      <c r="U18" s="282" t="e">
        <f>T18/1000</f>
        <v>#VALUE!</v>
      </c>
      <c r="V18" s="188" t="s">
        <v>405</v>
      </c>
      <c r="W18" s="282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282" t="e">
        <f t="shared" ref="Q19:W23" si="3">P19/1000</f>
        <v>#VALUE!</v>
      </c>
      <c r="R19" s="188" t="s">
        <v>405</v>
      </c>
      <c r="S19" s="282" t="e">
        <f t="shared" si="3"/>
        <v>#VALUE!</v>
      </c>
      <c r="T19" s="188" t="s">
        <v>405</v>
      </c>
      <c r="U19" s="282" t="e">
        <f t="shared" si="3"/>
        <v>#VALUE!</v>
      </c>
      <c r="V19" s="188" t="s">
        <v>405</v>
      </c>
      <c r="W19" s="282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282" t="e">
        <f t="shared" si="3"/>
        <v>#VALUE!</v>
      </c>
      <c r="R20" s="188" t="s">
        <v>405</v>
      </c>
      <c r="S20" s="282" t="e">
        <f t="shared" si="3"/>
        <v>#VALUE!</v>
      </c>
      <c r="T20" s="188" t="s">
        <v>405</v>
      </c>
      <c r="U20" s="282" t="e">
        <f t="shared" si="3"/>
        <v>#VALUE!</v>
      </c>
      <c r="V20" s="188" t="s">
        <v>405</v>
      </c>
      <c r="W20" s="282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282" t="e">
        <f t="shared" si="3"/>
        <v>#VALUE!</v>
      </c>
      <c r="R21" s="188" t="s">
        <v>405</v>
      </c>
      <c r="S21" s="282" t="e">
        <f t="shared" si="3"/>
        <v>#VALUE!</v>
      </c>
      <c r="T21" s="188" t="s">
        <v>405</v>
      </c>
      <c r="U21" s="282" t="e">
        <f t="shared" si="3"/>
        <v>#VALUE!</v>
      </c>
      <c r="V21" s="188" t="s">
        <v>405</v>
      </c>
      <c r="W21" s="282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282" t="e">
        <f t="shared" si="3"/>
        <v>#VALUE!</v>
      </c>
      <c r="R22" s="188" t="s">
        <v>405</v>
      </c>
      <c r="S22" s="282" t="e">
        <f t="shared" si="3"/>
        <v>#VALUE!</v>
      </c>
      <c r="T22" s="188" t="s">
        <v>405</v>
      </c>
      <c r="U22" s="282" t="e">
        <f t="shared" si="3"/>
        <v>#VALUE!</v>
      </c>
      <c r="V22" s="188" t="s">
        <v>405</v>
      </c>
      <c r="W22" s="282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282" t="e">
        <f t="shared" si="3"/>
        <v>#VALUE!</v>
      </c>
      <c r="R23" s="188" t="s">
        <v>405</v>
      </c>
      <c r="S23" s="282" t="e">
        <f t="shared" si="3"/>
        <v>#VALUE!</v>
      </c>
      <c r="T23" s="188" t="s">
        <v>405</v>
      </c>
      <c r="U23" s="282" t="e">
        <f t="shared" si="3"/>
        <v>#VALUE!</v>
      </c>
      <c r="V23" s="188" t="s">
        <v>405</v>
      </c>
      <c r="W23" s="282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>
      <c r="A25" s="106">
        <v>10</v>
      </c>
      <c r="B25" s="24" t="s">
        <v>8</v>
      </c>
      <c r="C25" s="43" t="s">
        <v>78</v>
      </c>
      <c r="D25" s="88">
        <v>0</v>
      </c>
      <c r="E25" s="111">
        <f>D25/1000</f>
        <v>0</v>
      </c>
      <c r="F25" s="89">
        <v>0</v>
      </c>
      <c r="G25" s="111">
        <f>F25/1000</f>
        <v>0</v>
      </c>
      <c r="H25" s="40">
        <v>0</v>
      </c>
      <c r="I25" s="111">
        <f>H25/1000</f>
        <v>0</v>
      </c>
      <c r="J25" s="40">
        <v>0</v>
      </c>
      <c r="K25" s="111">
        <f>J25/1000</f>
        <v>0</v>
      </c>
      <c r="L25" s="40">
        <v>0</v>
      </c>
      <c r="M25" s="111">
        <f>L25/1000</f>
        <v>0</v>
      </c>
      <c r="N25" s="40">
        <v>0</v>
      </c>
      <c r="O25" s="111">
        <f>N25/1000</f>
        <v>0</v>
      </c>
      <c r="P25" s="188">
        <v>0</v>
      </c>
      <c r="Q25" s="282">
        <f>P25/1000</f>
        <v>0</v>
      </c>
      <c r="R25" s="188">
        <v>0</v>
      </c>
      <c r="S25" s="282">
        <f>R25/1000</f>
        <v>0</v>
      </c>
      <c r="T25" s="188">
        <v>0</v>
      </c>
      <c r="U25" s="282">
        <f>T25/1000</f>
        <v>0</v>
      </c>
      <c r="V25" s="188">
        <v>0</v>
      </c>
      <c r="W25" s="282">
        <f>V25/1000</f>
        <v>0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>
      <c r="A26" s="106">
        <v>11</v>
      </c>
      <c r="B26" s="24" t="s">
        <v>9</v>
      </c>
      <c r="C26" s="43" t="s">
        <v>78</v>
      </c>
      <c r="D26" s="99">
        <v>0.12</v>
      </c>
      <c r="E26" s="100"/>
      <c r="F26" s="100">
        <v>0.12</v>
      </c>
      <c r="G26" s="100"/>
      <c r="H26" s="40">
        <v>0.19</v>
      </c>
      <c r="I26" s="100"/>
      <c r="J26" s="40">
        <v>0.18</v>
      </c>
      <c r="K26" s="100"/>
      <c r="L26" s="40">
        <v>0.51</v>
      </c>
      <c r="M26" s="100"/>
      <c r="N26" s="40">
        <v>0.4</v>
      </c>
      <c r="O26" s="100"/>
      <c r="P26" s="188">
        <v>0.23</v>
      </c>
      <c r="Q26" s="213"/>
      <c r="R26" s="188">
        <v>0.22</v>
      </c>
      <c r="S26" s="213"/>
      <c r="T26" s="188">
        <v>0.24</v>
      </c>
      <c r="U26" s="213"/>
      <c r="V26" s="188">
        <v>0.21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0.09</v>
      </c>
      <c r="M27" s="100"/>
      <c r="N27" s="40">
        <v>0.08</v>
      </c>
      <c r="O27" s="100"/>
      <c r="P27" s="188">
        <v>0.05</v>
      </c>
      <c r="Q27" s="213"/>
      <c r="R27" s="188">
        <v>0</v>
      </c>
      <c r="S27" s="213"/>
      <c r="T27" s="188">
        <v>0.05</v>
      </c>
      <c r="U27" s="213"/>
      <c r="V27" s="188">
        <v>0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282" t="e">
        <f t="shared" ref="Q28:W35" si="7">P28/1000</f>
        <v>#VALUE!</v>
      </c>
      <c r="R28" s="188" t="s">
        <v>405</v>
      </c>
      <c r="S28" s="282" t="e">
        <f t="shared" si="7"/>
        <v>#VALUE!</v>
      </c>
      <c r="T28" s="188" t="s">
        <v>405</v>
      </c>
      <c r="U28" s="282" t="e">
        <f t="shared" si="7"/>
        <v>#VALUE!</v>
      </c>
      <c r="V28" s="188" t="s">
        <v>405</v>
      </c>
      <c r="W28" s="282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282" t="e">
        <f t="shared" si="7"/>
        <v>#VALUE!</v>
      </c>
      <c r="R29" s="188" t="s">
        <v>405</v>
      </c>
      <c r="S29" s="282" t="e">
        <f t="shared" si="7"/>
        <v>#VALUE!</v>
      </c>
      <c r="T29" s="188" t="s">
        <v>405</v>
      </c>
      <c r="U29" s="282" t="e">
        <f t="shared" si="7"/>
        <v>#VALUE!</v>
      </c>
      <c r="V29" s="188" t="s">
        <v>405</v>
      </c>
      <c r="W29" s="282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282" t="e">
        <f t="shared" si="7"/>
        <v>#VALUE!</v>
      </c>
      <c r="R30" s="188" t="s">
        <v>405</v>
      </c>
      <c r="S30" s="282" t="e">
        <f t="shared" si="7"/>
        <v>#VALUE!</v>
      </c>
      <c r="T30" s="188" t="s">
        <v>405</v>
      </c>
      <c r="U30" s="282" t="e">
        <f t="shared" si="7"/>
        <v>#VALUE!</v>
      </c>
      <c r="V30" s="188" t="s">
        <v>405</v>
      </c>
      <c r="W30" s="282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282" t="e">
        <f t="shared" si="7"/>
        <v>#VALUE!</v>
      </c>
      <c r="R31" s="188" t="s">
        <v>405</v>
      </c>
      <c r="S31" s="282" t="e">
        <f t="shared" si="7"/>
        <v>#VALUE!</v>
      </c>
      <c r="T31" s="188" t="s">
        <v>405</v>
      </c>
      <c r="U31" s="282" t="e">
        <f t="shared" si="7"/>
        <v>#VALUE!</v>
      </c>
      <c r="V31" s="188" t="s">
        <v>405</v>
      </c>
      <c r="W31" s="282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282" t="e">
        <f t="shared" si="7"/>
        <v>#VALUE!</v>
      </c>
      <c r="R32" s="188" t="s">
        <v>405</v>
      </c>
      <c r="S32" s="282" t="e">
        <f t="shared" si="7"/>
        <v>#VALUE!</v>
      </c>
      <c r="T32" s="188" t="s">
        <v>405</v>
      </c>
      <c r="U32" s="282" t="e">
        <f t="shared" si="7"/>
        <v>#VALUE!</v>
      </c>
      <c r="V32" s="188" t="s">
        <v>405</v>
      </c>
      <c r="W32" s="282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282" t="e">
        <f t="shared" si="7"/>
        <v>#VALUE!</v>
      </c>
      <c r="R33" s="188" t="s">
        <v>405</v>
      </c>
      <c r="S33" s="282" t="e">
        <f t="shared" si="7"/>
        <v>#VALUE!</v>
      </c>
      <c r="T33" s="188" t="s">
        <v>405</v>
      </c>
      <c r="U33" s="282" t="e">
        <f t="shared" si="7"/>
        <v>#VALUE!</v>
      </c>
      <c r="V33" s="188" t="s">
        <v>405</v>
      </c>
      <c r="W33" s="282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282" t="e">
        <f t="shared" si="7"/>
        <v>#VALUE!</v>
      </c>
      <c r="R34" s="188" t="s">
        <v>405</v>
      </c>
      <c r="S34" s="282" t="e">
        <f t="shared" si="7"/>
        <v>#VALUE!</v>
      </c>
      <c r="T34" s="188" t="s">
        <v>405</v>
      </c>
      <c r="U34" s="282" t="e">
        <f t="shared" si="7"/>
        <v>#VALUE!</v>
      </c>
      <c r="V34" s="188" t="s">
        <v>405</v>
      </c>
      <c r="W34" s="282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282" t="e">
        <f t="shared" si="7"/>
        <v>#VALUE!</v>
      </c>
      <c r="R35" s="188" t="s">
        <v>405</v>
      </c>
      <c r="S35" s="282" t="e">
        <f t="shared" si="7"/>
        <v>#VALUE!</v>
      </c>
      <c r="T35" s="188" t="s">
        <v>405</v>
      </c>
      <c r="U35" s="282" t="e">
        <f t="shared" si="7"/>
        <v>#VALUE!</v>
      </c>
      <c r="V35" s="188" t="s">
        <v>405</v>
      </c>
      <c r="W35" s="282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7.0000000000000007E-2</v>
      </c>
      <c r="M36" s="100"/>
      <c r="N36" s="40">
        <v>0.06</v>
      </c>
      <c r="O36" s="100"/>
      <c r="P36" s="188">
        <v>0</v>
      </c>
      <c r="Q36" s="213"/>
      <c r="R36" s="188">
        <v>0</v>
      </c>
      <c r="S36" s="213"/>
      <c r="T36" s="188">
        <v>0.05</v>
      </c>
      <c r="U36" s="213"/>
      <c r="V36" s="188">
        <v>0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2"/>
      <c r="R37" s="188" t="s">
        <v>405</v>
      </c>
      <c r="S37" s="212"/>
      <c r="T37" s="188" t="s">
        <v>405</v>
      </c>
      <c r="U37" s="212"/>
      <c r="V37" s="188" t="s">
        <v>405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>
      <c r="A38" s="106">
        <v>23</v>
      </c>
      <c r="B38" s="24" t="s">
        <v>19</v>
      </c>
      <c r="C38" s="43" t="s">
        <v>78</v>
      </c>
      <c r="D38" s="88" t="s">
        <v>405</v>
      </c>
      <c r="E38" s="263" t="e">
        <f t="shared" ref="E38:O40" si="8">D38/1000</f>
        <v>#VALUE!</v>
      </c>
      <c r="F38" s="89" t="s">
        <v>405</v>
      </c>
      <c r="G38" s="263" t="e">
        <f t="shared" si="8"/>
        <v>#VALUE!</v>
      </c>
      <c r="H38" s="40" t="s">
        <v>405</v>
      </c>
      <c r="I38" s="263" t="e">
        <f t="shared" si="8"/>
        <v>#VALUE!</v>
      </c>
      <c r="J38" s="40" t="s">
        <v>405</v>
      </c>
      <c r="K38" s="263" t="e">
        <f t="shared" si="8"/>
        <v>#VALUE!</v>
      </c>
      <c r="L38" s="40" t="s">
        <v>405</v>
      </c>
      <c r="M38" s="263" t="e">
        <f t="shared" si="8"/>
        <v>#VALUE!</v>
      </c>
      <c r="N38" s="40" t="s">
        <v>405</v>
      </c>
      <c r="O38" s="263" t="e">
        <f t="shared" si="8"/>
        <v>#VALUE!</v>
      </c>
      <c r="P38" s="188" t="s">
        <v>405</v>
      </c>
      <c r="Q38" s="283" t="e">
        <f t="shared" ref="Q38:W40" si="9">P38/1000</f>
        <v>#VALUE!</v>
      </c>
      <c r="R38" s="188" t="s">
        <v>405</v>
      </c>
      <c r="S38" s="283" t="e">
        <f t="shared" si="9"/>
        <v>#VALUE!</v>
      </c>
      <c r="T38" s="188" t="s">
        <v>405</v>
      </c>
      <c r="U38" s="283" t="e">
        <f t="shared" si="9"/>
        <v>#VALUE!</v>
      </c>
      <c r="V38" s="188" t="s">
        <v>405</v>
      </c>
      <c r="W38" s="283" t="e">
        <f t="shared" si="9"/>
        <v>#VALUE!</v>
      </c>
      <c r="X38" s="40"/>
      <c r="Y38" s="263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2"/>
      <c r="R39" s="188" t="s">
        <v>405</v>
      </c>
      <c r="S39" s="212"/>
      <c r="T39" s="188" t="s">
        <v>405</v>
      </c>
      <c r="U39" s="212"/>
      <c r="V39" s="188" t="s">
        <v>405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>
      <c r="A40" s="106">
        <v>25</v>
      </c>
      <c r="B40" s="24" t="s">
        <v>21</v>
      </c>
      <c r="C40" s="43" t="s">
        <v>78</v>
      </c>
      <c r="D40" s="88" t="s">
        <v>405</v>
      </c>
      <c r="E40" s="263" t="e">
        <f t="shared" si="8"/>
        <v>#VALUE!</v>
      </c>
      <c r="F40" s="89" t="s">
        <v>405</v>
      </c>
      <c r="G40" s="263" t="e">
        <f t="shared" si="8"/>
        <v>#VALUE!</v>
      </c>
      <c r="H40" s="40" t="s">
        <v>405</v>
      </c>
      <c r="I40" s="263" t="e">
        <f t="shared" si="8"/>
        <v>#VALUE!</v>
      </c>
      <c r="J40" s="40" t="s">
        <v>405</v>
      </c>
      <c r="K40" s="263" t="e">
        <f t="shared" si="8"/>
        <v>#VALUE!</v>
      </c>
      <c r="L40" s="40" t="s">
        <v>405</v>
      </c>
      <c r="M40" s="263" t="e">
        <f t="shared" si="8"/>
        <v>#VALUE!</v>
      </c>
      <c r="N40" s="40" t="s">
        <v>405</v>
      </c>
      <c r="O40" s="263" t="e">
        <f t="shared" si="8"/>
        <v>#VALUE!</v>
      </c>
      <c r="P40" s="188" t="s">
        <v>405</v>
      </c>
      <c r="Q40" s="283" t="e">
        <f t="shared" si="9"/>
        <v>#VALUE!</v>
      </c>
      <c r="R40" s="188" t="s">
        <v>405</v>
      </c>
      <c r="S40" s="283" t="e">
        <f t="shared" si="9"/>
        <v>#VALUE!</v>
      </c>
      <c r="T40" s="188" t="s">
        <v>405</v>
      </c>
      <c r="U40" s="283" t="e">
        <f t="shared" si="9"/>
        <v>#VALUE!</v>
      </c>
      <c r="V40" s="188" t="s">
        <v>405</v>
      </c>
      <c r="W40" s="283" t="e">
        <f t="shared" si="9"/>
        <v>#VALUE!</v>
      </c>
      <c r="X40" s="40"/>
      <c r="Y40" s="263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>
      <c r="A41" s="106">
        <v>26</v>
      </c>
      <c r="B41" s="24" t="s">
        <v>22</v>
      </c>
      <c r="C41" s="43" t="s">
        <v>78</v>
      </c>
      <c r="D41" s="88">
        <v>0</v>
      </c>
      <c r="E41" s="89"/>
      <c r="F41" s="89">
        <v>0</v>
      </c>
      <c r="G41" s="89"/>
      <c r="H41" s="40">
        <v>0</v>
      </c>
      <c r="I41" s="89"/>
      <c r="J41" s="40">
        <v>0</v>
      </c>
      <c r="K41" s="89"/>
      <c r="L41" s="40">
        <v>0</v>
      </c>
      <c r="M41" s="89"/>
      <c r="N41" s="40">
        <v>0</v>
      </c>
      <c r="O41" s="89"/>
      <c r="P41" s="188">
        <v>0</v>
      </c>
      <c r="Q41" s="212"/>
      <c r="R41" s="188">
        <v>0</v>
      </c>
      <c r="S41" s="212"/>
      <c r="T41" s="188">
        <v>0</v>
      </c>
      <c r="U41" s="212"/>
      <c r="V41" s="188">
        <v>0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282" t="e">
        <f>P42/1000</f>
        <v>#VALUE!</v>
      </c>
      <c r="R42" s="188" t="s">
        <v>405</v>
      </c>
      <c r="S42" s="282" t="e">
        <f>R42/1000</f>
        <v>#VALUE!</v>
      </c>
      <c r="T42" s="188" t="s">
        <v>405</v>
      </c>
      <c r="U42" s="282" t="e">
        <f>T42/1000</f>
        <v>#VALUE!</v>
      </c>
      <c r="V42" s="188" t="s">
        <v>405</v>
      </c>
      <c r="W42" s="282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2"/>
      <c r="R43" s="188" t="s">
        <v>405</v>
      </c>
      <c r="S43" s="212"/>
      <c r="T43" s="188" t="s">
        <v>405</v>
      </c>
      <c r="U43" s="212"/>
      <c r="V43" s="188" t="s">
        <v>405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>
      <c r="A44" s="106">
        <v>29</v>
      </c>
      <c r="B44" s="24" t="s">
        <v>25</v>
      </c>
      <c r="C44" s="43" t="s">
        <v>78</v>
      </c>
      <c r="D44" s="88" t="s">
        <v>405</v>
      </c>
      <c r="E44" s="263" t="e">
        <f t="shared" ref="E44:O45" si="10">D44/1000</f>
        <v>#VALUE!</v>
      </c>
      <c r="F44" s="89" t="s">
        <v>405</v>
      </c>
      <c r="G44" s="263" t="e">
        <f t="shared" si="10"/>
        <v>#VALUE!</v>
      </c>
      <c r="H44" s="40" t="s">
        <v>405</v>
      </c>
      <c r="I44" s="263" t="e">
        <f t="shared" si="10"/>
        <v>#VALUE!</v>
      </c>
      <c r="J44" s="40" t="s">
        <v>405</v>
      </c>
      <c r="K44" s="263" t="e">
        <f t="shared" si="10"/>
        <v>#VALUE!</v>
      </c>
      <c r="L44" s="40" t="s">
        <v>405</v>
      </c>
      <c r="M44" s="263" t="e">
        <f t="shared" si="10"/>
        <v>#VALUE!</v>
      </c>
      <c r="N44" s="40" t="s">
        <v>405</v>
      </c>
      <c r="O44" s="263" t="e">
        <f t="shared" si="10"/>
        <v>#VALUE!</v>
      </c>
      <c r="P44" s="188" t="s">
        <v>405</v>
      </c>
      <c r="Q44" s="283" t="e">
        <f t="shared" ref="Q44:W45" si="11">P44/1000</f>
        <v>#VALUE!</v>
      </c>
      <c r="R44" s="188" t="s">
        <v>405</v>
      </c>
      <c r="S44" s="283" t="e">
        <f t="shared" si="11"/>
        <v>#VALUE!</v>
      </c>
      <c r="T44" s="188" t="s">
        <v>405</v>
      </c>
      <c r="U44" s="283" t="e">
        <f t="shared" si="11"/>
        <v>#VALUE!</v>
      </c>
      <c r="V44" s="188" t="s">
        <v>405</v>
      </c>
      <c r="W44" s="283" t="e">
        <f t="shared" si="11"/>
        <v>#VALUE!</v>
      </c>
      <c r="X44" s="40"/>
      <c r="Y44" s="263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>
      <c r="A45" s="106">
        <v>30</v>
      </c>
      <c r="B45" s="24" t="s">
        <v>26</v>
      </c>
      <c r="C45" s="43" t="s">
        <v>78</v>
      </c>
      <c r="D45" s="88" t="s">
        <v>405</v>
      </c>
      <c r="E45" s="263" t="e">
        <f t="shared" si="10"/>
        <v>#VALUE!</v>
      </c>
      <c r="F45" s="89" t="s">
        <v>405</v>
      </c>
      <c r="G45" s="263" t="e">
        <f t="shared" si="10"/>
        <v>#VALUE!</v>
      </c>
      <c r="H45" s="40" t="s">
        <v>405</v>
      </c>
      <c r="I45" s="263" t="e">
        <f t="shared" si="10"/>
        <v>#VALUE!</v>
      </c>
      <c r="J45" s="40" t="s">
        <v>405</v>
      </c>
      <c r="K45" s="263" t="e">
        <f t="shared" si="10"/>
        <v>#VALUE!</v>
      </c>
      <c r="L45" s="40" t="s">
        <v>405</v>
      </c>
      <c r="M45" s="263" t="e">
        <f t="shared" si="10"/>
        <v>#VALUE!</v>
      </c>
      <c r="N45" s="40" t="s">
        <v>405</v>
      </c>
      <c r="O45" s="263" t="e">
        <f t="shared" si="10"/>
        <v>#VALUE!</v>
      </c>
      <c r="P45" s="188" t="s">
        <v>405</v>
      </c>
      <c r="Q45" s="283" t="e">
        <f t="shared" si="11"/>
        <v>#VALUE!</v>
      </c>
      <c r="R45" s="188" t="s">
        <v>405</v>
      </c>
      <c r="S45" s="283" t="e">
        <f t="shared" si="11"/>
        <v>#VALUE!</v>
      </c>
      <c r="T45" s="188" t="s">
        <v>405</v>
      </c>
      <c r="U45" s="283" t="e">
        <f t="shared" si="11"/>
        <v>#VALUE!</v>
      </c>
      <c r="V45" s="188" t="s">
        <v>405</v>
      </c>
      <c r="W45" s="283" t="e">
        <f t="shared" si="11"/>
        <v>#VALUE!</v>
      </c>
      <c r="X45" s="40"/>
      <c r="Y45" s="263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2"/>
      <c r="R46" s="188" t="s">
        <v>405</v>
      </c>
      <c r="S46" s="212"/>
      <c r="T46" s="188" t="s">
        <v>405</v>
      </c>
      <c r="U46" s="212"/>
      <c r="V46" s="188" t="s">
        <v>405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282" t="e">
        <f>P47/1000</f>
        <v>#VALUE!</v>
      </c>
      <c r="R47" s="188" t="s">
        <v>405</v>
      </c>
      <c r="S47" s="282" t="e">
        <f>R47/1000</f>
        <v>#VALUE!</v>
      </c>
      <c r="T47" s="188" t="s">
        <v>405</v>
      </c>
      <c r="U47" s="282" t="e">
        <f>T47/1000</f>
        <v>#VALUE!</v>
      </c>
      <c r="V47" s="188" t="s">
        <v>405</v>
      </c>
      <c r="W47" s="282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282" t="e">
        <f>P48/1000</f>
        <v>#VALUE!</v>
      </c>
      <c r="R48" s="188" t="s">
        <v>405</v>
      </c>
      <c r="S48" s="282" t="e">
        <f>R48/1000</f>
        <v>#VALUE!</v>
      </c>
      <c r="T48" s="188" t="s">
        <v>405</v>
      </c>
      <c r="U48" s="282" t="e">
        <f>T48/1000</f>
        <v>#VALUE!</v>
      </c>
      <c r="V48" s="188" t="s">
        <v>405</v>
      </c>
      <c r="W48" s="282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282" t="e">
        <f>P49/1000</f>
        <v>#VALUE!</v>
      </c>
      <c r="R49" s="188" t="s">
        <v>405</v>
      </c>
      <c r="S49" s="282" t="e">
        <f>R49/1000</f>
        <v>#VALUE!</v>
      </c>
      <c r="T49" s="188" t="s">
        <v>405</v>
      </c>
      <c r="U49" s="282" t="e">
        <f>T49/1000</f>
        <v>#VALUE!</v>
      </c>
      <c r="V49" s="188" t="s">
        <v>405</v>
      </c>
      <c r="W49" s="282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282" t="e">
        <f>P50/1000</f>
        <v>#VALUE!</v>
      </c>
      <c r="R50" s="188" t="s">
        <v>405</v>
      </c>
      <c r="S50" s="282" t="e">
        <f>R50/1000</f>
        <v>#VALUE!</v>
      </c>
      <c r="T50" s="188" t="s">
        <v>405</v>
      </c>
      <c r="U50" s="282" t="e">
        <f>T50/1000</f>
        <v>#VALUE!</v>
      </c>
      <c r="V50" s="188" t="s">
        <v>405</v>
      </c>
      <c r="W50" s="282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282" t="e">
        <f>P52/1000</f>
        <v>#VALUE!</v>
      </c>
      <c r="R52" s="188" t="s">
        <v>405</v>
      </c>
      <c r="S52" s="282" t="e">
        <f>R52/1000</f>
        <v>#VALUE!</v>
      </c>
      <c r="T52" s="188" t="s">
        <v>405</v>
      </c>
      <c r="U52" s="282" t="e">
        <f>T52/1000</f>
        <v>#VALUE!</v>
      </c>
      <c r="V52" s="188" t="s">
        <v>405</v>
      </c>
      <c r="W52" s="282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>
      <c r="A53" s="106">
        <v>38</v>
      </c>
      <c r="B53" s="24" t="s">
        <v>35</v>
      </c>
      <c r="C53" s="43" t="s">
        <v>78</v>
      </c>
      <c r="D53" s="27">
        <v>3.8</v>
      </c>
      <c r="E53" s="28"/>
      <c r="F53" s="28">
        <v>3.8</v>
      </c>
      <c r="G53" s="28"/>
      <c r="H53" s="40">
        <v>4.4000000000000004</v>
      </c>
      <c r="I53" s="28"/>
      <c r="J53" s="40">
        <v>4.5</v>
      </c>
      <c r="K53" s="28"/>
      <c r="L53" s="40">
        <v>10</v>
      </c>
      <c r="M53" s="28"/>
      <c r="N53" s="40">
        <v>8.3000000000000007</v>
      </c>
      <c r="O53" s="28"/>
      <c r="P53" s="188">
        <v>5.4</v>
      </c>
      <c r="Q53" s="191"/>
      <c r="R53" s="188">
        <v>5.4</v>
      </c>
      <c r="S53" s="191"/>
      <c r="T53" s="188">
        <v>5.9</v>
      </c>
      <c r="U53" s="191"/>
      <c r="V53" s="188">
        <v>5.5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 t="s">
        <v>405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>
      <c r="A57" s="106">
        <v>42</v>
      </c>
      <c r="B57" s="24" t="s">
        <v>38</v>
      </c>
      <c r="C57" s="43" t="s">
        <v>78</v>
      </c>
      <c r="D57" s="101">
        <v>0</v>
      </c>
      <c r="E57" s="111">
        <f>D57/1000</f>
        <v>0</v>
      </c>
      <c r="F57" s="102">
        <v>0</v>
      </c>
      <c r="G57" s="111">
        <f>F57/1000</f>
        <v>0</v>
      </c>
      <c r="H57" s="40">
        <v>0</v>
      </c>
      <c r="I57" s="111">
        <f>H57/1000</f>
        <v>0</v>
      </c>
      <c r="J57" s="40">
        <v>0</v>
      </c>
      <c r="K57" s="111">
        <f>J57/1000</f>
        <v>0</v>
      </c>
      <c r="L57" s="40">
        <v>0</v>
      </c>
      <c r="M57" s="111">
        <f>L57/1000</f>
        <v>0</v>
      </c>
      <c r="N57" s="40">
        <v>0</v>
      </c>
      <c r="O57" s="111">
        <f>N57/1000</f>
        <v>0</v>
      </c>
      <c r="P57" s="188">
        <v>2E-3</v>
      </c>
      <c r="Q57" s="282">
        <f>P57/1000</f>
        <v>1.9999999999999999E-6</v>
      </c>
      <c r="R57" s="188">
        <v>2E-3</v>
      </c>
      <c r="S57" s="282">
        <f>R57/1000</f>
        <v>1.9999999999999999E-6</v>
      </c>
      <c r="T57" s="188">
        <v>2E-3</v>
      </c>
      <c r="U57" s="282">
        <f>T57/1000</f>
        <v>1.9999999999999999E-6</v>
      </c>
      <c r="V57" s="188">
        <v>2E-3</v>
      </c>
      <c r="W57" s="282">
        <f>V57/1000</f>
        <v>1.9999999999999999E-6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>
      <c r="A58" s="106">
        <v>43</v>
      </c>
      <c r="B58" s="24" t="s">
        <v>102</v>
      </c>
      <c r="C58" s="43" t="s">
        <v>78</v>
      </c>
      <c r="D58" s="101">
        <v>0</v>
      </c>
      <c r="E58" s="111">
        <f>D58/1000</f>
        <v>0</v>
      </c>
      <c r="F58" s="102">
        <v>0</v>
      </c>
      <c r="G58" s="111">
        <f>F58/1000</f>
        <v>0</v>
      </c>
      <c r="H58" s="40">
        <v>0</v>
      </c>
      <c r="I58" s="111">
        <f>H58/1000</f>
        <v>0</v>
      </c>
      <c r="J58" s="40">
        <v>0</v>
      </c>
      <c r="K58" s="111">
        <f>J58/1000</f>
        <v>0</v>
      </c>
      <c r="L58" s="40">
        <v>0</v>
      </c>
      <c r="M58" s="111">
        <f>L58/1000</f>
        <v>0</v>
      </c>
      <c r="N58" s="40">
        <v>0</v>
      </c>
      <c r="O58" s="111">
        <f>N58/1000</f>
        <v>0</v>
      </c>
      <c r="P58" s="188">
        <v>1E-3</v>
      </c>
      <c r="Q58" s="282">
        <f>P58/1000</f>
        <v>9.9999999999999995E-7</v>
      </c>
      <c r="R58" s="188">
        <v>1E-3</v>
      </c>
      <c r="S58" s="282">
        <f>R58/1000</f>
        <v>9.9999999999999995E-7</v>
      </c>
      <c r="T58" s="188">
        <v>1E-3</v>
      </c>
      <c r="U58" s="282">
        <f>T58/1000</f>
        <v>9.9999999999999995E-7</v>
      </c>
      <c r="V58" s="188">
        <v>1E-3</v>
      </c>
      <c r="W58" s="282">
        <f>V58/1000</f>
        <v>9.9999999999999995E-7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>
        <v>6.0000000000000001E-3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>
        <v>4.0000000000000001E-3</v>
      </c>
      <c r="U59" s="212"/>
      <c r="V59" s="188">
        <v>5.0000000000000001E-3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282" t="e">
        <f>P60/1000</f>
        <v>#VALUE!</v>
      </c>
      <c r="R60" s="188" t="s">
        <v>405</v>
      </c>
      <c r="S60" s="282" t="e">
        <f>R60/1000</f>
        <v>#VALUE!</v>
      </c>
      <c r="T60" s="188" t="s">
        <v>405</v>
      </c>
      <c r="U60" s="282" t="e">
        <f>T60/1000</f>
        <v>#VALUE!</v>
      </c>
      <c r="V60" s="188" t="s">
        <v>405</v>
      </c>
      <c r="W60" s="282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0.4</v>
      </c>
      <c r="E61" s="28"/>
      <c r="F61" s="28">
        <v>0.4</v>
      </c>
      <c r="G61" s="28"/>
      <c r="H61" s="40">
        <v>0.5</v>
      </c>
      <c r="I61" s="28"/>
      <c r="J61" s="40">
        <v>0.6</v>
      </c>
      <c r="K61" s="28"/>
      <c r="L61" s="40">
        <v>0.6</v>
      </c>
      <c r="M61" s="28"/>
      <c r="N61" s="40">
        <v>0.6</v>
      </c>
      <c r="O61" s="28"/>
      <c r="P61" s="188">
        <v>0.5</v>
      </c>
      <c r="Q61" s="191"/>
      <c r="R61" s="188">
        <v>0.5</v>
      </c>
      <c r="S61" s="191"/>
      <c r="T61" s="188">
        <v>0.5</v>
      </c>
      <c r="U61" s="191"/>
      <c r="V61" s="188">
        <v>0.5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>
      <c r="A62" s="106">
        <v>47</v>
      </c>
      <c r="B62" s="24" t="s">
        <v>72</v>
      </c>
      <c r="C62" s="45" t="s">
        <v>75</v>
      </c>
      <c r="D62" s="27">
        <v>7.1</v>
      </c>
      <c r="E62" s="28"/>
      <c r="F62" s="28">
        <v>7.1</v>
      </c>
      <c r="G62" s="28"/>
      <c r="H62" s="40">
        <v>7.1</v>
      </c>
      <c r="I62" s="28"/>
      <c r="J62" s="40">
        <v>7.1</v>
      </c>
      <c r="K62" s="28"/>
      <c r="L62" s="40">
        <v>6.8</v>
      </c>
      <c r="M62" s="28"/>
      <c r="N62" s="40">
        <v>6.9</v>
      </c>
      <c r="O62" s="28"/>
      <c r="P62" s="188">
        <v>7.1</v>
      </c>
      <c r="Q62" s="191"/>
      <c r="R62" s="188">
        <v>7</v>
      </c>
      <c r="S62" s="191"/>
      <c r="T62" s="188">
        <v>7.1</v>
      </c>
      <c r="U62" s="191"/>
      <c r="V62" s="188">
        <v>7.2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>
      <c r="A68" s="322"/>
      <c r="B68" s="322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284" t="s">
        <v>405</v>
      </c>
      <c r="Q70" s="282" t="e">
        <f>P70/1000</f>
        <v>#VALUE!</v>
      </c>
      <c r="R70" s="284" t="s">
        <v>405</v>
      </c>
      <c r="S70" s="282" t="e">
        <f t="shared" ref="Q70:W74" si="14">R70/1000</f>
        <v>#VALUE!</v>
      </c>
      <c r="T70" s="284" t="s">
        <v>405</v>
      </c>
      <c r="U70" s="282" t="e">
        <f t="shared" si="14"/>
        <v>#VALUE!</v>
      </c>
      <c r="V70" s="284" t="s">
        <v>405</v>
      </c>
      <c r="W70" s="282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10" t="s">
        <v>405</v>
      </c>
      <c r="Q71" s="282" t="e">
        <f t="shared" si="14"/>
        <v>#VALUE!</v>
      </c>
      <c r="R71" s="210" t="s">
        <v>405</v>
      </c>
      <c r="S71" s="282" t="e">
        <f t="shared" si="14"/>
        <v>#VALUE!</v>
      </c>
      <c r="T71" s="210" t="s">
        <v>405</v>
      </c>
      <c r="U71" s="282" t="e">
        <f t="shared" si="14"/>
        <v>#VALUE!</v>
      </c>
      <c r="V71" s="210" t="s">
        <v>405</v>
      </c>
      <c r="W71" s="282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2" t="s">
        <v>405</v>
      </c>
      <c r="Q72" s="282" t="e">
        <f t="shared" si="14"/>
        <v>#VALUE!</v>
      </c>
      <c r="R72" s="212" t="s">
        <v>405</v>
      </c>
      <c r="S72" s="282" t="e">
        <f t="shared" si="14"/>
        <v>#VALUE!</v>
      </c>
      <c r="T72" s="212" t="s">
        <v>405</v>
      </c>
      <c r="U72" s="282" t="e">
        <f t="shared" si="14"/>
        <v>#VALUE!</v>
      </c>
      <c r="V72" s="212" t="s">
        <v>405</v>
      </c>
      <c r="W72" s="282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10" t="s">
        <v>405</v>
      </c>
      <c r="Q73" s="282" t="e">
        <f t="shared" si="14"/>
        <v>#VALUE!</v>
      </c>
      <c r="R73" s="210" t="s">
        <v>405</v>
      </c>
      <c r="S73" s="282" t="e">
        <f t="shared" si="14"/>
        <v>#VALUE!</v>
      </c>
      <c r="T73" s="210" t="s">
        <v>405</v>
      </c>
      <c r="U73" s="282" t="e">
        <f t="shared" si="14"/>
        <v>#VALUE!</v>
      </c>
      <c r="V73" s="210" t="s">
        <v>405</v>
      </c>
      <c r="W73" s="282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2" t="s">
        <v>405</v>
      </c>
      <c r="Q74" s="282" t="e">
        <f t="shared" si="14"/>
        <v>#VALUE!</v>
      </c>
      <c r="R74" s="212" t="s">
        <v>405</v>
      </c>
      <c r="S74" s="282" t="e">
        <f t="shared" si="14"/>
        <v>#VALUE!</v>
      </c>
      <c r="T74" s="212" t="s">
        <v>405</v>
      </c>
      <c r="U74" s="282" t="e">
        <f t="shared" si="14"/>
        <v>#VALUE!</v>
      </c>
      <c r="V74" s="212" t="s">
        <v>405</v>
      </c>
      <c r="W74" s="282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282" t="e">
        <f>P75/1000</f>
        <v>#VALUE!</v>
      </c>
      <c r="R75" s="212" t="s">
        <v>405</v>
      </c>
      <c r="S75" s="282" t="e">
        <f>R75/1000</f>
        <v>#VALUE!</v>
      </c>
      <c r="T75" s="212" t="s">
        <v>405</v>
      </c>
      <c r="U75" s="282" t="e">
        <f>T75/1000</f>
        <v>#VALUE!</v>
      </c>
      <c r="V75" s="212" t="s">
        <v>405</v>
      </c>
      <c r="W75" s="282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>
      <c r="A81" s="106">
        <v>12</v>
      </c>
      <c r="B81" s="48" t="s">
        <v>54</v>
      </c>
      <c r="C81" s="43" t="s">
        <v>78</v>
      </c>
      <c r="D81" s="27">
        <v>0.8</v>
      </c>
      <c r="E81" s="27"/>
      <c r="F81" s="28">
        <v>0.4</v>
      </c>
      <c r="G81" s="28"/>
      <c r="H81" s="40">
        <v>0.6</v>
      </c>
      <c r="I81" s="28"/>
      <c r="J81" s="28">
        <v>0.4</v>
      </c>
      <c r="K81" s="28"/>
      <c r="L81" s="28">
        <v>0.6</v>
      </c>
      <c r="M81" s="28"/>
      <c r="N81" s="28">
        <v>0.4</v>
      </c>
      <c r="O81" s="28"/>
      <c r="P81" s="191">
        <v>0.8</v>
      </c>
      <c r="Q81" s="191"/>
      <c r="R81" s="191">
        <v>0.6</v>
      </c>
      <c r="S81" s="191"/>
      <c r="T81" s="191">
        <v>0.6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>
      <c r="A83" s="106">
        <v>14</v>
      </c>
      <c r="B83" s="48" t="s">
        <v>65</v>
      </c>
      <c r="C83" s="43" t="s">
        <v>78</v>
      </c>
      <c r="D83" s="88" t="s">
        <v>405</v>
      </c>
      <c r="E83" s="263" t="e">
        <f t="shared" ref="E83:O83" si="15">D83/1000</f>
        <v>#VALUE!</v>
      </c>
      <c r="F83" s="89" t="s">
        <v>405</v>
      </c>
      <c r="G83" s="263" t="e">
        <f t="shared" si="15"/>
        <v>#VALUE!</v>
      </c>
      <c r="H83" s="40" t="s">
        <v>405</v>
      </c>
      <c r="I83" s="263" t="e">
        <f t="shared" si="15"/>
        <v>#VALUE!</v>
      </c>
      <c r="J83" s="89" t="s">
        <v>405</v>
      </c>
      <c r="K83" s="263" t="e">
        <f t="shared" si="15"/>
        <v>#VALUE!</v>
      </c>
      <c r="L83" s="89" t="s">
        <v>405</v>
      </c>
      <c r="M83" s="263" t="e">
        <f t="shared" si="15"/>
        <v>#VALUE!</v>
      </c>
      <c r="N83" s="89" t="s">
        <v>405</v>
      </c>
      <c r="O83" s="263" t="e">
        <f t="shared" si="15"/>
        <v>#VALUE!</v>
      </c>
      <c r="P83" s="212" t="s">
        <v>405</v>
      </c>
      <c r="Q83" s="283" t="e">
        <f t="shared" ref="Q83" si="16">P83/1000</f>
        <v>#VALUE!</v>
      </c>
      <c r="R83" s="212" t="s">
        <v>405</v>
      </c>
      <c r="S83" s="283" t="e">
        <f t="shared" ref="S83" si="17">R83/1000</f>
        <v>#VALUE!</v>
      </c>
      <c r="T83" s="212" t="s">
        <v>405</v>
      </c>
      <c r="U83" s="283" t="e">
        <f t="shared" ref="U83" si="18">T83/1000</f>
        <v>#VALUE!</v>
      </c>
      <c r="V83" s="212" t="s">
        <v>405</v>
      </c>
      <c r="W83" s="283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2" t="s">
        <v>405</v>
      </c>
      <c r="Q85" s="212"/>
      <c r="R85" s="212" t="s">
        <v>405</v>
      </c>
      <c r="S85" s="212"/>
      <c r="T85" s="212" t="s">
        <v>405</v>
      </c>
      <c r="U85" s="212"/>
      <c r="V85" s="212" t="s">
        <v>405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2" t="s">
        <v>405</v>
      </c>
      <c r="Q86" s="212"/>
      <c r="R86" s="212" t="s">
        <v>405</v>
      </c>
      <c r="S86" s="212"/>
      <c r="T86" s="212" t="s">
        <v>405</v>
      </c>
      <c r="U86" s="212"/>
      <c r="V86" s="212" t="s">
        <v>405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>
      <c r="A88" s="106">
        <v>19</v>
      </c>
      <c r="B88" s="48" t="s">
        <v>98</v>
      </c>
      <c r="C88" s="45" t="s">
        <v>75</v>
      </c>
      <c r="D88" s="41">
        <v>0</v>
      </c>
      <c r="E88" s="41"/>
      <c r="F88" s="40">
        <v>0</v>
      </c>
      <c r="G88" s="40"/>
      <c r="H88" s="40">
        <v>0</v>
      </c>
      <c r="I88" s="40"/>
      <c r="J88" s="40">
        <v>0</v>
      </c>
      <c r="K88" s="40"/>
      <c r="L88" s="40">
        <v>0</v>
      </c>
      <c r="M88" s="40"/>
      <c r="N88" s="40">
        <v>0</v>
      </c>
      <c r="O88" s="40"/>
      <c r="P88" s="188">
        <v>0</v>
      </c>
      <c r="Q88" s="188"/>
      <c r="R88" s="188">
        <v>0</v>
      </c>
      <c r="S88" s="188"/>
      <c r="T88" s="188">
        <v>0</v>
      </c>
      <c r="U88" s="188"/>
      <c r="V88" s="188">
        <v>0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>
      <c r="A91" s="106">
        <v>22</v>
      </c>
      <c r="B91" s="48" t="s">
        <v>103</v>
      </c>
      <c r="C91" s="45" t="s">
        <v>75</v>
      </c>
      <c r="D91" s="27">
        <v>7.1</v>
      </c>
      <c r="E91" s="27"/>
      <c r="F91" s="28">
        <v>7.1</v>
      </c>
      <c r="G91" s="28"/>
      <c r="H91" s="40">
        <v>7.1</v>
      </c>
      <c r="I91" s="28"/>
      <c r="J91" s="28">
        <v>7.1</v>
      </c>
      <c r="K91" s="28"/>
      <c r="L91" s="28">
        <v>6.8</v>
      </c>
      <c r="M91" s="28"/>
      <c r="N91" s="28">
        <v>6.9</v>
      </c>
      <c r="O91" s="28"/>
      <c r="P91" s="191">
        <v>7.1</v>
      </c>
      <c r="Q91" s="191"/>
      <c r="R91" s="191">
        <v>7</v>
      </c>
      <c r="S91" s="191"/>
      <c r="T91" s="191">
        <v>7.1</v>
      </c>
      <c r="U91" s="191"/>
      <c r="V91" s="191">
        <v>7.2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2" t="s">
        <v>405</v>
      </c>
      <c r="Q94" s="212"/>
      <c r="R94" s="212" t="s">
        <v>405</v>
      </c>
      <c r="S94" s="212"/>
      <c r="T94" s="212" t="s">
        <v>405</v>
      </c>
      <c r="U94" s="212"/>
      <c r="V94" s="212" t="s">
        <v>405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>
      <c r="A95" s="106">
        <v>26</v>
      </c>
      <c r="B95" s="48" t="s">
        <v>68</v>
      </c>
      <c r="C95" s="43" t="s">
        <v>78</v>
      </c>
      <c r="D95" s="99" t="s">
        <v>405</v>
      </c>
      <c r="E95" s="263" t="e">
        <f t="shared" ref="E95" si="20">D95/1000</f>
        <v>#VALUE!</v>
      </c>
      <c r="F95" s="100" t="s">
        <v>405</v>
      </c>
      <c r="G95" s="263" t="e">
        <f t="shared" ref="G95" si="21">F95/1000</f>
        <v>#VALUE!</v>
      </c>
      <c r="H95" s="40" t="s">
        <v>405</v>
      </c>
      <c r="I95" s="263" t="e">
        <f t="shared" ref="I95" si="22">H95/1000</f>
        <v>#VALUE!</v>
      </c>
      <c r="J95" s="100" t="s">
        <v>405</v>
      </c>
      <c r="K95" s="263" t="e">
        <f t="shared" ref="K95" si="23">J95/1000</f>
        <v>#VALUE!</v>
      </c>
      <c r="L95" s="100" t="s">
        <v>405</v>
      </c>
      <c r="M95" s="263" t="e">
        <f t="shared" ref="M95" si="24">L95/1000</f>
        <v>#VALUE!</v>
      </c>
      <c r="N95" s="100" t="s">
        <v>405</v>
      </c>
      <c r="O95" s="263" t="e">
        <f t="shared" ref="O95" si="25">N95/1000</f>
        <v>#VALUE!</v>
      </c>
      <c r="P95" s="285" t="s">
        <v>405</v>
      </c>
      <c r="Q95" s="283" t="e">
        <f t="shared" ref="Q95" si="26">P95/1000</f>
        <v>#VALUE!</v>
      </c>
      <c r="R95" s="285" t="s">
        <v>405</v>
      </c>
      <c r="S95" s="283" t="e">
        <f t="shared" ref="S95" si="27">R95/1000</f>
        <v>#VALUE!</v>
      </c>
      <c r="T95" s="285" t="s">
        <v>405</v>
      </c>
      <c r="U95" s="283" t="e">
        <f t="shared" ref="U95" si="28">T95/1000</f>
        <v>#VALUE!</v>
      </c>
      <c r="V95" s="285" t="s">
        <v>405</v>
      </c>
      <c r="W95" s="283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>
      <c r="A96" s="107">
        <v>27</v>
      </c>
      <c r="B96" s="264" t="s">
        <v>176</v>
      </c>
      <c r="C96" s="52" t="s">
        <v>78</v>
      </c>
      <c r="D96" s="120" t="s">
        <v>405</v>
      </c>
      <c r="E96" s="265" t="e">
        <f>D96/1000</f>
        <v>#VALUE!</v>
      </c>
      <c r="F96" s="115" t="s">
        <v>405</v>
      </c>
      <c r="G96" s="265" t="e">
        <f>F96/1000</f>
        <v>#VALUE!</v>
      </c>
      <c r="H96" s="60" t="s">
        <v>405</v>
      </c>
      <c r="I96" s="265" t="e">
        <f>H96/1000</f>
        <v>#VALUE!</v>
      </c>
      <c r="J96" s="115" t="s">
        <v>405</v>
      </c>
      <c r="K96" s="265" t="e">
        <f>J96/1000</f>
        <v>#VALUE!</v>
      </c>
      <c r="L96" s="115" t="s">
        <v>405</v>
      </c>
      <c r="M96" s="265" t="e">
        <f>L96/1000</f>
        <v>#VALUE!</v>
      </c>
      <c r="N96" s="115" t="s">
        <v>405</v>
      </c>
      <c r="O96" s="265" t="e">
        <f>N96/1000</f>
        <v>#VALUE!</v>
      </c>
      <c r="P96" s="286" t="s">
        <v>405</v>
      </c>
      <c r="Q96" s="282" t="e">
        <f>P96/1000</f>
        <v>#VALUE!</v>
      </c>
      <c r="R96" s="286" t="s">
        <v>405</v>
      </c>
      <c r="S96" s="282" t="e">
        <f>R96/1000</f>
        <v>#VALUE!</v>
      </c>
      <c r="T96" s="286" t="s">
        <v>405</v>
      </c>
      <c r="U96" s="282" t="e">
        <f>T96/1000</f>
        <v>#VALUE!</v>
      </c>
      <c r="V96" s="286" t="s">
        <v>405</v>
      </c>
      <c r="W96" s="282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>
      <c r="A100" s="106">
        <v>3</v>
      </c>
      <c r="B100" s="54" t="s">
        <v>59</v>
      </c>
      <c r="C100" s="55" t="s">
        <v>60</v>
      </c>
      <c r="D100" s="27">
        <v>3.9</v>
      </c>
      <c r="E100" s="27"/>
      <c r="F100" s="28">
        <v>3.8</v>
      </c>
      <c r="G100" s="28"/>
      <c r="H100" s="40">
        <v>4.4000000000000004</v>
      </c>
      <c r="I100" s="28"/>
      <c r="J100" s="28">
        <v>4.3</v>
      </c>
      <c r="K100" s="28"/>
      <c r="L100" s="28">
        <v>9</v>
      </c>
      <c r="M100" s="28"/>
      <c r="N100" s="28">
        <v>7.9</v>
      </c>
      <c r="O100" s="28"/>
      <c r="P100" s="191">
        <v>6</v>
      </c>
      <c r="Q100" s="191"/>
      <c r="R100" s="191">
        <v>6</v>
      </c>
      <c r="S100" s="191"/>
      <c r="T100" s="191">
        <v>6.2</v>
      </c>
      <c r="U100" s="191"/>
      <c r="V100" s="191">
        <v>5.9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>
      <c r="A101" s="106"/>
      <c r="B101" s="124" t="s">
        <v>219</v>
      </c>
      <c r="C101" s="55"/>
      <c r="D101" s="27">
        <v>0.12</v>
      </c>
      <c r="E101" s="27"/>
      <c r="F101" s="28">
        <v>0.12</v>
      </c>
      <c r="G101" s="28"/>
      <c r="H101" s="40">
        <v>0.19</v>
      </c>
      <c r="I101" s="28"/>
      <c r="J101" s="28">
        <v>0.18</v>
      </c>
      <c r="K101" s="28"/>
      <c r="L101" s="28">
        <v>0.51</v>
      </c>
      <c r="M101" s="28"/>
      <c r="N101" s="28">
        <v>0.4</v>
      </c>
      <c r="O101" s="28"/>
      <c r="P101" s="191">
        <v>0.23</v>
      </c>
      <c r="Q101" s="191"/>
      <c r="R101" s="191">
        <v>0.22</v>
      </c>
      <c r="S101" s="191"/>
      <c r="T101" s="191">
        <v>0.24</v>
      </c>
      <c r="U101" s="191"/>
      <c r="V101" s="191">
        <v>0.21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22"/>
      <c r="B132" s="322"/>
      <c r="C132" s="323"/>
      <c r="D132" s="323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73">
        <v>45839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74"/>
      <c r="N2" s="274"/>
    </row>
    <row r="3" spans="1:14">
      <c r="A3" t="s">
        <v>80</v>
      </c>
      <c r="B3" s="275">
        <v>45839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75">
        <v>45840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75">
        <v>45841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75">
        <v>45842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75">
        <v>45843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75">
        <v>45844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75">
        <v>45845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75">
        <v>45846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75">
        <v>45847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75">
        <v>45848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75">
        <v>45849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75">
        <v>45850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75">
        <v>45851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75">
        <v>45852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75">
        <v>45853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75">
        <v>45854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75">
        <v>45855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75">
        <v>45856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75">
        <v>45857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75">
        <v>45858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75">
        <v>45859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75">
        <v>45860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75">
        <v>45861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75">
        <v>45862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75">
        <v>45863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75">
        <v>45864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75">
        <v>45865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75">
        <v>45866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75">
        <v>45867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75">
        <v>45868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75">
        <v>45869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78" t="s">
        <v>44</v>
      </c>
      <c r="BY3" s="278" t="s">
        <v>45</v>
      </c>
      <c r="BZ3" s="261" t="s">
        <v>388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78" t="s">
        <v>44</v>
      </c>
      <c r="BY3" s="278" t="s">
        <v>45</v>
      </c>
      <c r="BZ3" s="261" t="s">
        <v>388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78" t="s">
        <v>44</v>
      </c>
      <c r="BY3" s="278" t="s">
        <v>45</v>
      </c>
      <c r="BZ3" s="261" t="s">
        <v>373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78" t="s">
        <v>44</v>
      </c>
      <c r="BY3" s="278" t="s">
        <v>45</v>
      </c>
      <c r="BZ3" s="261" t="s">
        <v>373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s="155" customFormat="1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1" t="s">
        <v>373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57" t="s">
        <v>229</v>
      </c>
      <c r="C2" s="358"/>
      <c r="D2" s="356" t="s">
        <v>314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t="s">
        <v>234</v>
      </c>
      <c r="S2" t="s">
        <v>236</v>
      </c>
      <c r="T2" s="356" t="s">
        <v>243</v>
      </c>
      <c r="U2" s="356"/>
      <c r="V2" s="356"/>
      <c r="W2" s="356"/>
      <c r="X2" s="356"/>
      <c r="Y2" s="356"/>
      <c r="Z2" s="356"/>
      <c r="AA2" t="s">
        <v>248</v>
      </c>
      <c r="AR2" s="356" t="s">
        <v>264</v>
      </c>
      <c r="AS2" s="356"/>
      <c r="AT2" s="356"/>
      <c r="AU2" s="126" t="s">
        <v>269</v>
      </c>
      <c r="AV2" s="126" t="s">
        <v>271</v>
      </c>
      <c r="AW2" s="126" t="s">
        <v>273</v>
      </c>
      <c r="AX2" s="126" t="s">
        <v>274</v>
      </c>
      <c r="AY2" s="356" t="s">
        <v>277</v>
      </c>
      <c r="AZ2" s="356"/>
      <c r="BA2" s="126" t="s">
        <v>279</v>
      </c>
      <c r="BB2" s="126" t="s">
        <v>281</v>
      </c>
      <c r="BC2" s="126" t="s">
        <v>283</v>
      </c>
      <c r="BD2" s="356" t="s">
        <v>286</v>
      </c>
      <c r="BE2" s="356"/>
      <c r="BF2" s="356"/>
      <c r="BG2" s="356"/>
      <c r="BH2" s="356"/>
      <c r="BI2" s="126" t="s">
        <v>295</v>
      </c>
      <c r="BJ2" s="356" t="s">
        <v>297</v>
      </c>
      <c r="BK2" s="356"/>
      <c r="BL2" s="356" t="s">
        <v>300</v>
      </c>
      <c r="BM2" s="356"/>
      <c r="BN2" s="356"/>
      <c r="BO2" s="356"/>
      <c r="BP2" s="126" t="s">
        <v>304</v>
      </c>
      <c r="BQ2" s="126" t="s">
        <v>307</v>
      </c>
      <c r="BR2" s="126" t="s">
        <v>308</v>
      </c>
      <c r="BS2" s="126" t="s">
        <v>311</v>
      </c>
      <c r="BT2" s="356" t="s">
        <v>312</v>
      </c>
      <c r="BU2" s="356"/>
      <c r="BV2" t="s">
        <v>313</v>
      </c>
      <c r="BW2" t="s">
        <v>333</v>
      </c>
      <c r="CA2" t="s">
        <v>286</v>
      </c>
    </row>
    <row r="3" spans="2:79" s="155" customFormat="1" ht="81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1" t="s">
        <v>373</v>
      </c>
      <c r="CA3" s="26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2021-12-28T08:25:17Z</cp:lastPrinted>
  <dcterms:created xsi:type="dcterms:W3CDTF">2020-11-06T01:25:08Z</dcterms:created>
  <dcterms:modified xsi:type="dcterms:W3CDTF">2025-08-25T01:33:05Z</dcterms:modified>
</cp:coreProperties>
</file>